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drawings/drawing3.xml" ContentType="application/vnd.openxmlformats-officedocument.drawing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10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connell\Desktop\"/>
    </mc:Choice>
  </mc:AlternateContent>
  <bookViews>
    <workbookView xWindow="0" yWindow="0" windowWidth="19200" windowHeight="11055" tabRatio="885"/>
  </bookViews>
  <sheets>
    <sheet name="Small Homes Ventilation" sheetId="14" r:id="rId1"/>
    <sheet name="Calculations-2016" sheetId="22" state="hidden" r:id="rId2"/>
    <sheet name="Local Exhaust Ventilation" sheetId="17" r:id="rId3"/>
    <sheet name="Multifamily Ventilation" sheetId="39" r:id="rId4"/>
    <sheet name="Predicted-Depressurization" sheetId="29" state="hidden" r:id="rId5"/>
    <sheet name="MF Infiltration Credit Wrks" sheetId="45" r:id="rId6"/>
    <sheet name="Multifamily Calculations" sheetId="47" state="hidden" r:id="rId7"/>
    <sheet name="Fan Cycle Calculator" sheetId="18" r:id="rId8"/>
    <sheet name="Exhaust Ventilation Worksheet" sheetId="32" r:id="rId9"/>
    <sheet name="Small Homes Flow Chart 1" sheetId="30" state="hidden" r:id="rId10"/>
    <sheet name="Small Homes Flow Chart 2" sheetId="31" state="hidden" r:id="rId11"/>
    <sheet name="Multifamily Flow Chart 1" sheetId="40" state="hidden" r:id="rId12"/>
    <sheet name="Multifamily Flow Chart 2" sheetId="41" state="hidden" r:id="rId13"/>
  </sheets>
  <externalReferences>
    <externalReference r:id="rId14"/>
  </externalReferences>
  <definedNames>
    <definedName name="MF_Stations">'Multifamily Calculations'!$B$34:$B$57</definedName>
    <definedName name="_xlnm.Print_Area" localSheetId="8">'Exhaust Ventilation Worksheet'!$B$1:$P$32</definedName>
    <definedName name="_xlnm.Print_Area" localSheetId="7">'Fan Cycle Calculator'!$B$4:$P$10</definedName>
    <definedName name="_xlnm.Print_Area" localSheetId="2">'Local Exhaust Ventilation'!$A$1:$R$27</definedName>
    <definedName name="_xlnm.Print_Area" localSheetId="5">'MF Infiltration Credit Wrks'!$A$1:$L$63</definedName>
    <definedName name="_xlnm.Print_Area" localSheetId="6">'Multifamily Calculations'!$B$1:$S$58</definedName>
    <definedName name="_xlnm.Print_Area" localSheetId="11">'Multifamily Flow Chart 1'!$A$1:$V$52</definedName>
    <definedName name="_xlnm.Print_Area" localSheetId="3">'Multifamily Ventilation'!$B$5:$T$124</definedName>
    <definedName name="_xlnm.Print_Area" localSheetId="9">'Small Homes Flow Chart 1'!$A$1:$Z$65</definedName>
    <definedName name="_xlnm.Print_Area" localSheetId="0">'Small Homes Ventilation'!$B$5:$N$76</definedName>
    <definedName name="WSF_Stations" localSheetId="11">'[1]Calculations-2013'!$C$33:$C$56</definedName>
    <definedName name="WSF_Stations">'Calculations-2016'!$C$33:$C$56</definedName>
  </definedNames>
  <calcPr calcId="171027"/>
</workbook>
</file>

<file path=xl/calcChain.xml><?xml version="1.0" encoding="utf-8"?>
<calcChain xmlns="http://schemas.openxmlformats.org/spreadsheetml/2006/main">
  <c r="S6" i="47" l="1"/>
  <c r="P6" i="47"/>
  <c r="M6" i="47"/>
  <c r="J6" i="47"/>
  <c r="G6" i="47"/>
  <c r="X64" i="39" l="1"/>
  <c r="Q64" i="39" s="1"/>
  <c r="X54" i="39"/>
  <c r="Q54" i="39" s="1"/>
  <c r="E28" i="39" l="1"/>
  <c r="I81" i="39" l="1"/>
  <c r="I41" i="39"/>
  <c r="I51" i="39"/>
  <c r="I71" i="39"/>
  <c r="I61" i="39"/>
  <c r="G28" i="39"/>
  <c r="F27" i="45" l="1"/>
  <c r="H2" i="47" l="1"/>
  <c r="J18" i="45" l="1"/>
  <c r="F42" i="45"/>
  <c r="B42" i="45"/>
  <c r="F18" i="45"/>
  <c r="B18" i="45"/>
  <c r="J27" i="45"/>
  <c r="G13" i="47" l="1"/>
  <c r="F58" i="45"/>
  <c r="B58" i="45"/>
  <c r="F51" i="45"/>
  <c r="B51" i="45"/>
  <c r="J34" i="45"/>
  <c r="J36" i="45" s="1"/>
  <c r="F34" i="45"/>
  <c r="B34" i="45"/>
  <c r="B27" i="45"/>
  <c r="F60" i="45" l="1"/>
  <c r="B60" i="45"/>
  <c r="F36" i="45"/>
  <c r="B36" i="45"/>
  <c r="G27" i="47" s="1"/>
  <c r="S18" i="47"/>
  <c r="P18" i="47"/>
  <c r="S12" i="47"/>
  <c r="P12" i="47"/>
  <c r="M12" i="47"/>
  <c r="J12" i="47"/>
  <c r="G12" i="47"/>
  <c r="S13" i="47"/>
  <c r="S11" i="47"/>
  <c r="S10" i="47"/>
  <c r="X76" i="39"/>
  <c r="Q76" i="39" s="1"/>
  <c r="S76" i="39" s="1"/>
  <c r="X75" i="39"/>
  <c r="X74" i="39"/>
  <c r="Q74" i="39" s="1"/>
  <c r="G73" i="39"/>
  <c r="Q75" i="39" l="1"/>
  <c r="S75" i="39" s="1"/>
  <c r="S74" i="39"/>
  <c r="S8" i="47"/>
  <c r="S16" i="47" s="1"/>
  <c r="S20" i="47" s="1"/>
  <c r="S27" i="47"/>
  <c r="S23" i="47"/>
  <c r="Q79" i="39" l="1"/>
  <c r="G79" i="39" s="1"/>
  <c r="S25" i="47" s="1"/>
  <c r="S21" i="47"/>
  <c r="F61" i="45"/>
  <c r="F62" i="45" s="1"/>
  <c r="I57" i="39"/>
  <c r="M18" i="47"/>
  <c r="J18" i="47"/>
  <c r="G18" i="47"/>
  <c r="F28" i="22"/>
  <c r="G80" i="39" l="1"/>
  <c r="I77" i="39"/>
  <c r="I67" i="39"/>
  <c r="I47" i="39"/>
  <c r="I37" i="39"/>
  <c r="J68" i="39"/>
  <c r="J78" i="39"/>
  <c r="J58" i="39"/>
  <c r="J48" i="39"/>
  <c r="J38" i="39"/>
  <c r="G8" i="47"/>
  <c r="S29" i="47"/>
  <c r="P13" i="47"/>
  <c r="M13" i="47"/>
  <c r="J13" i="47"/>
  <c r="P11" i="47"/>
  <c r="M11" i="47"/>
  <c r="J11" i="47"/>
  <c r="G11" i="47"/>
  <c r="P10" i="47"/>
  <c r="M10" i="47"/>
  <c r="J10" i="47"/>
  <c r="G10" i="47"/>
  <c r="G81" i="39" l="1"/>
  <c r="J8" i="47"/>
  <c r="J16" i="47" s="1"/>
  <c r="J20" i="47" s="1"/>
  <c r="J21" i="47" s="1"/>
  <c r="M8" i="47"/>
  <c r="M16" i="47" s="1"/>
  <c r="M20" i="47" s="1"/>
  <c r="M21" i="47" s="1"/>
  <c r="P8" i="47"/>
  <c r="P16" i="47" s="1"/>
  <c r="P20" i="47" s="1"/>
  <c r="P21" i="47" s="1"/>
  <c r="G16" i="47"/>
  <c r="G20" i="47" s="1"/>
  <c r="M23" i="47"/>
  <c r="P23" i="47"/>
  <c r="G23" i="47"/>
  <c r="J23" i="47"/>
  <c r="G21" i="47" l="1"/>
  <c r="B37" i="45"/>
  <c r="B38" i="45" s="1"/>
  <c r="P27" i="47"/>
  <c r="M27" i="47"/>
  <c r="J27" i="47"/>
  <c r="F37" i="45"/>
  <c r="F38" i="45" s="1"/>
  <c r="B61" i="45"/>
  <c r="B62" i="45" s="1"/>
  <c r="J37" i="45"/>
  <c r="J38" i="45" s="1"/>
  <c r="S54" i="39" l="1"/>
  <c r="X55" i="39"/>
  <c r="Q55" i="39" s="1"/>
  <c r="S55" i="39" s="1"/>
  <c r="X44" i="39"/>
  <c r="Q44" i="39" s="1"/>
  <c r="X45" i="39"/>
  <c r="Q45" i="39" s="1"/>
  <c r="X34" i="39"/>
  <c r="Q34" i="39" s="1"/>
  <c r="X35" i="39"/>
  <c r="Q35" i="39" s="1"/>
  <c r="Q36" i="39"/>
  <c r="D43" i="14"/>
  <c r="C8" i="29"/>
  <c r="C7" i="29"/>
  <c r="C6" i="29"/>
  <c r="C13" i="29"/>
  <c r="D22" i="22"/>
  <c r="C22" i="22"/>
  <c r="F12" i="22"/>
  <c r="F20" i="22" s="1"/>
  <c r="F17" i="22"/>
  <c r="F16" i="22" s="1"/>
  <c r="F21" i="22" s="1"/>
  <c r="T34" i="39"/>
  <c r="T35" i="39"/>
  <c r="T36" i="39"/>
  <c r="G43" i="39"/>
  <c r="T44" i="39"/>
  <c r="T45" i="39"/>
  <c r="T46" i="39"/>
  <c r="T54" i="39"/>
  <c r="T55" i="39"/>
  <c r="T56" i="39"/>
  <c r="G63" i="39"/>
  <c r="G23" i="17"/>
  <c r="G22" i="17"/>
  <c r="G21" i="17"/>
  <c r="G20" i="17"/>
  <c r="G19" i="17"/>
  <c r="G18" i="17"/>
  <c r="G17" i="17"/>
  <c r="G16" i="17"/>
  <c r="G15" i="17"/>
  <c r="G14" i="17"/>
  <c r="G6" i="17"/>
  <c r="P23" i="17"/>
  <c r="Q23" i="17"/>
  <c r="P22" i="17"/>
  <c r="Q22" i="17"/>
  <c r="P21" i="17"/>
  <c r="Q21" i="17"/>
  <c r="P20" i="17"/>
  <c r="Q20" i="17"/>
  <c r="P19" i="17"/>
  <c r="Q19" i="17"/>
  <c r="P18" i="17"/>
  <c r="Q18" i="17" s="1"/>
  <c r="P17" i="17"/>
  <c r="Q17" i="17" s="1"/>
  <c r="P16" i="17"/>
  <c r="Q16" i="17" s="1"/>
  <c r="P15" i="17"/>
  <c r="Q15" i="17" s="1"/>
  <c r="P14" i="17"/>
  <c r="Q14" i="17" s="1"/>
  <c r="P13" i="17"/>
  <c r="Q13" i="17"/>
  <c r="P12" i="17"/>
  <c r="Q12" i="17"/>
  <c r="P11" i="17"/>
  <c r="Q11" i="17" s="1"/>
  <c r="P10" i="17"/>
  <c r="Q10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P9" i="17"/>
  <c r="Q9" i="17" s="1"/>
  <c r="L9" i="17"/>
  <c r="K9" i="17"/>
  <c r="G13" i="17"/>
  <c r="G12" i="17"/>
  <c r="G11" i="17"/>
  <c r="G10" i="17"/>
  <c r="G9" i="17"/>
  <c r="C37" i="14"/>
  <c r="I37" i="14" s="1"/>
  <c r="N6" i="17"/>
  <c r="L6" i="17"/>
  <c r="J5" i="17"/>
  <c r="J6" i="17"/>
  <c r="H6" i="17"/>
  <c r="X66" i="39"/>
  <c r="Q66" i="39" s="1"/>
  <c r="S66" i="39" s="1"/>
  <c r="X65" i="39"/>
  <c r="Q65" i="39" s="1"/>
  <c r="S65" i="39" s="1"/>
  <c r="X56" i="39"/>
  <c r="Q56" i="39" s="1"/>
  <c r="S56" i="39" s="1"/>
  <c r="X46" i="39"/>
  <c r="Q46" i="39" s="1"/>
  <c r="X36" i="39"/>
  <c r="C18" i="29"/>
  <c r="C19" i="29" s="1"/>
  <c r="H4" i="17"/>
  <c r="J4" i="17"/>
  <c r="H5" i="17"/>
  <c r="P6" i="17"/>
  <c r="K6" i="17"/>
  <c r="N4" i="17"/>
  <c r="N5" i="17"/>
  <c r="C5" i="22"/>
  <c r="H37" i="14"/>
  <c r="H36" i="14"/>
  <c r="I36" i="14" s="1"/>
  <c r="H35" i="14"/>
  <c r="I35" i="14" s="1"/>
  <c r="C10" i="29"/>
  <c r="C9" i="29"/>
  <c r="P5" i="17"/>
  <c r="P4" i="17"/>
  <c r="F14" i="22"/>
  <c r="F13" i="22"/>
  <c r="F4" i="22"/>
  <c r="G7" i="18"/>
  <c r="G8" i="18" s="1"/>
  <c r="Q25" i="17" l="1"/>
  <c r="L38" i="14" s="1"/>
  <c r="Q69" i="39"/>
  <c r="G69" i="39" s="1"/>
  <c r="F22" i="22"/>
  <c r="F19" i="22" s="1"/>
  <c r="F26" i="22" s="1"/>
  <c r="M8" i="18"/>
  <c r="Q59" i="39"/>
  <c r="G59" i="39" s="1"/>
  <c r="S64" i="39"/>
  <c r="Q49" i="39"/>
  <c r="G49" i="39" s="1"/>
  <c r="G50" i="39" s="1"/>
  <c r="Q6" i="17"/>
  <c r="L37" i="14" s="1"/>
  <c r="K14" i="22"/>
  <c r="F11" i="22" s="1"/>
  <c r="C4" i="22" s="1"/>
  <c r="C11" i="29"/>
  <c r="C15" i="29" s="1"/>
  <c r="Q4" i="17"/>
  <c r="L35" i="14" s="1"/>
  <c r="Q5" i="17"/>
  <c r="L36" i="14" s="1"/>
  <c r="F27" i="22"/>
  <c r="Q39" i="39"/>
  <c r="G39" i="39" s="1"/>
  <c r="G40" i="39" s="1"/>
  <c r="M25" i="47" l="1"/>
  <c r="G60" i="39"/>
  <c r="P25" i="47"/>
  <c r="P29" i="47" s="1"/>
  <c r="G71" i="39" s="1"/>
  <c r="G70" i="39"/>
  <c r="J25" i="47"/>
  <c r="J29" i="47" s="1"/>
  <c r="G25" i="47"/>
  <c r="G29" i="47" s="1"/>
  <c r="G41" i="39" s="1"/>
  <c r="M37" i="14"/>
  <c r="M35" i="14"/>
  <c r="F25" i="22"/>
  <c r="F9" i="22" s="1"/>
  <c r="M36" i="14"/>
  <c r="L39" i="14"/>
  <c r="G46" i="14" s="1"/>
  <c r="M29" i="47" l="1"/>
  <c r="G61" i="39" s="1"/>
  <c r="G51" i="39"/>
  <c r="D4" i="22"/>
  <c r="E4" i="22" s="1"/>
  <c r="D3" i="22"/>
  <c r="F10" i="22"/>
  <c r="C3" i="22" s="1"/>
  <c r="G48" i="14" s="1"/>
  <c r="G50" i="14" l="1"/>
  <c r="G56" i="14" s="1"/>
  <c r="E3" i="22"/>
  <c r="D5" i="22"/>
  <c r="F3" i="22"/>
  <c r="G3" i="22" s="1"/>
  <c r="L3" i="22"/>
  <c r="M3" i="22"/>
  <c r="G43" i="14" l="1"/>
</calcChain>
</file>

<file path=xl/comments1.xml><?xml version="1.0" encoding="utf-8"?>
<comments xmlns="http://schemas.openxmlformats.org/spreadsheetml/2006/main">
  <authors>
    <author>Dale</author>
  </authors>
  <commentList>
    <comment ref="D35" authorId="0" shapeId="0">
      <text>
        <r>
          <rPr>
            <b/>
            <sz val="9"/>
            <color indexed="81"/>
            <rFont val="Tahoma"/>
            <family val="2"/>
          </rPr>
          <t>62.2 requires a kitchen fan to be 100 CFM or more.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</rPr>
          <t>62.2 allows an operable window to provide a 20 CFM credit towards a local ventilation deficit.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</rPr>
          <t>62.2 requires a bathroom fan to be 50 CFM or more.</t>
        </r>
      </text>
    </comment>
    <comment ref="J36" authorId="0" shapeId="0">
      <text>
        <r>
          <rPr>
            <b/>
            <sz val="9"/>
            <color indexed="81"/>
            <rFont val="Tahoma"/>
            <family val="2"/>
          </rPr>
          <t>62.2 allows an operable window to provide a 20 CFM credit towards a local ventilation deficit.</t>
        </r>
      </text>
    </comment>
    <comment ref="J37" authorId="0" shapeId="0">
      <text>
        <r>
          <rPr>
            <b/>
            <sz val="9"/>
            <color indexed="81"/>
            <rFont val="Tahoma"/>
            <family val="2"/>
          </rPr>
          <t>62.2 allows an operable window to provide a 20 CFM credit towards a local ventilation deficit.</t>
        </r>
      </text>
    </comment>
  </commentList>
</comments>
</file>

<file path=xl/sharedStrings.xml><?xml version="1.0" encoding="utf-8"?>
<sst xmlns="http://schemas.openxmlformats.org/spreadsheetml/2006/main" count="690" uniqueCount="312">
  <si>
    <t>CFM50</t>
  </si>
  <si>
    <t>Result</t>
  </si>
  <si>
    <t>cfm</t>
  </si>
  <si>
    <t>ELA</t>
  </si>
  <si>
    <t>NL</t>
  </si>
  <si>
    <t>units</t>
  </si>
  <si>
    <t>CFM</t>
  </si>
  <si>
    <t>square feet</t>
  </si>
  <si>
    <t>Qinfiltration is calculated from Equivalent Leakage Area (sq ft)</t>
  </si>
  <si>
    <t xml:space="preserve">Inputs: </t>
  </si>
  <si>
    <t xml:space="preserve">Afloor </t>
  </si>
  <si>
    <t>bedrooms</t>
  </si>
  <si>
    <t>Input:</t>
  </si>
  <si>
    <t>H</t>
  </si>
  <si>
    <t>reference (constant)</t>
  </si>
  <si>
    <t>Inputs:</t>
  </si>
  <si>
    <t>wsf</t>
  </si>
  <si>
    <t>Weather factor from table 2 below</t>
  </si>
  <si>
    <t>Location</t>
  </si>
  <si>
    <t>WSF</t>
  </si>
  <si>
    <t>NY Central Park</t>
  </si>
  <si>
    <t>White Plains AP</t>
  </si>
  <si>
    <t>Stewart Field</t>
  </si>
  <si>
    <t>Monticello (AWOS)</t>
  </si>
  <si>
    <t>Syracuse AP</t>
  </si>
  <si>
    <t>Utica AP</t>
  </si>
  <si>
    <t>Jamestown (AWOS)</t>
  </si>
  <si>
    <t>Niagara Falls AF</t>
  </si>
  <si>
    <t>Watertown AP</t>
  </si>
  <si>
    <t>Ft. Drum</t>
  </si>
  <si>
    <t>Republic</t>
  </si>
  <si>
    <t>Westhampton AP</t>
  </si>
  <si>
    <t>Equivalent Leakage Area (sqft):     ELA = (CFM50 X 0.055)/144</t>
  </si>
  <si>
    <t>NOTE: Collin Wilson is a physicist with Minneapolis Blower Door</t>
  </si>
  <si>
    <t>Wilson says the ASTM  and CGSB procedures don't work well in the field</t>
  </si>
  <si>
    <t>these procedures require pressurizing and depressurizing to +4 and -4 pascals</t>
  </si>
  <si>
    <t xml:space="preserve">This is the required continuous mechanical ventilation </t>
  </si>
  <si>
    <t>CFM50=CFM natural/(w x s x .0508)</t>
  </si>
  <si>
    <t>ACHnatural= CFMnatural x 60/(A x H)</t>
  </si>
  <si>
    <t>WHOLE HOUSE 
VENTILATION</t>
  </si>
  <si>
    <r>
      <rPr>
        <b/>
        <sz val="11"/>
        <color indexed="8"/>
        <rFont val="Calibri"/>
        <family val="2"/>
      </rPr>
      <t>ASHRAE 62.2-2010 proposed addendum n</t>
    </r>
    <r>
      <rPr>
        <sz val="11"/>
        <color theme="1"/>
        <rFont val="Calibri"/>
        <family val="2"/>
        <scheme val="minor"/>
      </rPr>
      <t xml:space="preserve">
calculates existing infiltration using new regional "WSF" factor</t>
    </r>
  </si>
  <si>
    <t>Number of units</t>
  </si>
  <si>
    <t>BUILDING DESCRIPTION</t>
  </si>
  <si>
    <t xml:space="preserve">this has been prepared in anticipation of ASHRAE adopting this addendum. </t>
  </si>
  <si>
    <t>Kitchen</t>
  </si>
  <si>
    <t>WAP Agency</t>
  </si>
  <si>
    <t>Auditor</t>
  </si>
  <si>
    <t>Date</t>
  </si>
  <si>
    <t>Client Name</t>
  </si>
  <si>
    <t>Building Address</t>
  </si>
  <si>
    <t>Square feet of occupied area (total building)</t>
  </si>
  <si>
    <t>LOCAL EXHAUST VENTILATION</t>
  </si>
  <si>
    <t>Unit 
Number</t>
  </si>
  <si>
    <t>Bathroom #1</t>
  </si>
  <si>
    <t>Needs new fan?</t>
  </si>
  <si>
    <t>Do windows 
open? (Y or N)</t>
  </si>
  <si>
    <t>Measured exhaust cfm</t>
  </si>
  <si>
    <t>Bathroom #2 (if any)</t>
  </si>
  <si>
    <t>Bathroom #3 (if any)</t>
  </si>
  <si>
    <t>If there is no exhaust fan, enter "No fan" as the Measured exhaust cfm and Y in the "Needs new fan?" column.</t>
  </si>
  <si>
    <t>Needs ductwork?</t>
  </si>
  <si>
    <t>Needs new Fan?</t>
  </si>
  <si>
    <t>Do windows open?</t>
  </si>
  <si>
    <t>Measure and record the airflow at all local exhaust fans.</t>
  </si>
  <si>
    <t>Even if windows are operable, test whether they open and close easily.</t>
  </si>
  <si>
    <t>If the exhaust cfm is less than the target cfm shown above, enter Y in the "Needs new fan?" column.</t>
  </si>
  <si>
    <t>If existing ductwork is in good condition, enter N in the "Needs ductwork?" column.</t>
  </si>
  <si>
    <t>If there is no existing ductwork or the existing ductwork is in poor repair, enter Y in the "Needs ductwork?" column.</t>
  </si>
  <si>
    <t xml:space="preserve">On the form below, describe local exhaust ventilation in the kitchens and bathrooms for every housing unit in the building. </t>
  </si>
  <si>
    <t>Adirondack Airport</t>
  </si>
  <si>
    <t>Albany County Airport</t>
  </si>
  <si>
    <t>Binghamton Airport</t>
  </si>
  <si>
    <t>Buffalo Airport</t>
  </si>
  <si>
    <t>Elmira-Corning Airport</t>
  </si>
  <si>
    <t>Glens Falls Airport</t>
  </si>
  <si>
    <t>Islip LI Macarthur Airport</t>
  </si>
  <si>
    <t>Massena Airport</t>
  </si>
  <si>
    <t>NY JFK Airport</t>
  </si>
  <si>
    <t>NY LaGuardia Airport</t>
  </si>
  <si>
    <t>Poughkeepsie Airport</t>
  </si>
  <si>
    <t>Rochester Airport</t>
  </si>
  <si>
    <t>White Plains Westchester Airport</t>
  </si>
  <si>
    <t>Syracuse Hancock Int'l Airport</t>
  </si>
  <si>
    <t>Utica Oneida Co Airport</t>
  </si>
  <si>
    <t>Watertown Airport</t>
  </si>
  <si>
    <t>Westhampton Gabreski Airport</t>
  </si>
  <si>
    <t># occupants (total building)</t>
  </si>
  <si>
    <t># bedrooms (total building)</t>
  </si>
  <si>
    <t>occupants</t>
  </si>
  <si>
    <t>refers to location selected on Whole House Ventilation worksheet</t>
  </si>
  <si>
    <t>The target exhaust rate for kitchens is 100 cfm, or 80 cfm if windows are operable.</t>
  </si>
  <si>
    <t>The target exhaust rate for bathrooms is 50 cfm, or 30 cfm if windows are operable.</t>
  </si>
  <si>
    <t xml:space="preserve"> </t>
  </si>
  <si>
    <t xml:space="preserve">Ventilation required (cfm) </t>
  </si>
  <si>
    <t xml:space="preserve">This is equivalent to </t>
  </si>
  <si>
    <t>Notes</t>
  </si>
  <si>
    <t>Length of ON period (60 minute cycles)</t>
  </si>
  <si>
    <t>Length of ON period (24 hour cycles)</t>
  </si>
  <si>
    <t>CFMnatural = CFM50 x w x s x .0508</t>
  </si>
  <si>
    <r>
      <t>Annual average infiltration (cfm):   Q</t>
    </r>
    <r>
      <rPr>
        <i/>
        <vertAlign val="subscript"/>
        <sz val="14"/>
        <color indexed="8"/>
        <rFont val="Calibri"/>
        <family val="2"/>
      </rPr>
      <t>inf</t>
    </r>
    <r>
      <rPr>
        <i/>
        <sz val="14"/>
        <color indexed="8"/>
        <rFont val="Calibri"/>
        <family val="2"/>
      </rPr>
      <t>(cfm) = (NL x wsf x A</t>
    </r>
    <r>
      <rPr>
        <i/>
        <vertAlign val="subscript"/>
        <sz val="14"/>
        <color indexed="8"/>
        <rFont val="Calibri"/>
        <family val="2"/>
      </rPr>
      <t>floor</t>
    </r>
    <r>
      <rPr>
        <i/>
        <sz val="14"/>
        <color indexed="8"/>
        <rFont val="Calibri"/>
        <family val="2"/>
      </rPr>
      <t>)/7.3</t>
    </r>
  </si>
  <si>
    <t>Eq 4.1a</t>
  </si>
  <si>
    <r>
      <t>N</t>
    </r>
    <r>
      <rPr>
        <i/>
        <vertAlign val="subscript"/>
        <sz val="11"/>
        <color indexed="8"/>
        <rFont val="Calibri"/>
        <family val="2"/>
      </rPr>
      <t>br</t>
    </r>
  </si>
  <si>
    <t>Eq 4.4</t>
  </si>
  <si>
    <t>Eq 4.5a</t>
  </si>
  <si>
    <r>
      <t>Q</t>
    </r>
    <r>
      <rPr>
        <i/>
        <vertAlign val="subscript"/>
        <sz val="14"/>
        <color indexed="8"/>
        <rFont val="Calibri"/>
        <family val="2"/>
      </rPr>
      <t>fan</t>
    </r>
    <r>
      <rPr>
        <i/>
        <sz val="14"/>
        <color indexed="8"/>
        <rFont val="Calibri"/>
        <family val="2"/>
      </rPr>
      <t xml:space="preserve"> = Q</t>
    </r>
    <r>
      <rPr>
        <i/>
        <vertAlign val="subscript"/>
        <sz val="14"/>
        <color indexed="8"/>
        <rFont val="Calibri"/>
        <family val="2"/>
      </rPr>
      <t>tot</t>
    </r>
    <r>
      <rPr>
        <i/>
        <sz val="14"/>
        <color indexed="8"/>
        <rFont val="Calibri"/>
        <family val="2"/>
      </rPr>
      <t>-Q</t>
    </r>
    <r>
      <rPr>
        <i/>
        <vertAlign val="subscript"/>
        <sz val="14"/>
        <color indexed="8"/>
        <rFont val="Calibri"/>
        <family val="2"/>
      </rPr>
      <t>inf</t>
    </r>
  </si>
  <si>
    <t>Eq 4.6</t>
  </si>
  <si>
    <t>square feet leakage area</t>
  </si>
  <si>
    <r>
      <t>Normalized leakage (sqft):      NL = 1000 x (ELA/A</t>
    </r>
    <r>
      <rPr>
        <i/>
        <vertAlign val="subscript"/>
        <sz val="14"/>
        <color indexed="8"/>
        <rFont val="Calibri"/>
        <family val="2"/>
      </rPr>
      <t>floor</t>
    </r>
    <r>
      <rPr>
        <i/>
        <sz val="14"/>
        <color indexed="8"/>
        <rFont val="Calibri"/>
        <family val="2"/>
      </rPr>
      <t>) x [H/H</t>
    </r>
    <r>
      <rPr>
        <i/>
        <vertAlign val="subscript"/>
        <sz val="14"/>
        <color indexed="8"/>
        <rFont val="Calibri"/>
        <family val="2"/>
      </rPr>
      <t>ref</t>
    </r>
    <r>
      <rPr>
        <i/>
        <sz val="14"/>
        <color indexed="8"/>
        <rFont val="Calibri"/>
        <family val="2"/>
      </rPr>
      <t>]</t>
    </r>
    <r>
      <rPr>
        <i/>
        <vertAlign val="superscript"/>
        <sz val="14"/>
        <color indexed="8"/>
        <rFont val="Calibri"/>
        <family val="2"/>
      </rPr>
      <t>^0.4</t>
    </r>
  </si>
  <si>
    <r>
      <t>H</t>
    </r>
    <r>
      <rPr>
        <vertAlign val="subscript"/>
        <sz val="11"/>
        <color indexed="8"/>
        <rFont val="Calibri"/>
        <family val="2"/>
      </rPr>
      <t>ref</t>
    </r>
  </si>
  <si>
    <r>
      <t>A</t>
    </r>
    <r>
      <rPr>
        <vertAlign val="subscript"/>
        <sz val="11"/>
        <color indexed="8"/>
        <rFont val="Calibri"/>
        <family val="2"/>
      </rPr>
      <t>floor</t>
    </r>
  </si>
  <si>
    <t>sq. ft.</t>
  </si>
  <si>
    <r>
      <t>Q</t>
    </r>
    <r>
      <rPr>
        <i/>
        <vertAlign val="subscript"/>
        <sz val="14"/>
        <color indexed="8"/>
        <rFont val="Calibri"/>
        <family val="2"/>
      </rPr>
      <t xml:space="preserve">tot </t>
    </r>
    <r>
      <rPr>
        <i/>
        <sz val="14"/>
        <color indexed="8"/>
        <rFont val="Calibri"/>
        <family val="2"/>
      </rPr>
      <t>= 0.03 x A</t>
    </r>
    <r>
      <rPr>
        <i/>
        <vertAlign val="subscript"/>
        <sz val="14"/>
        <color indexed="8"/>
        <rFont val="Calibri"/>
        <family val="2"/>
      </rPr>
      <t>floor</t>
    </r>
    <r>
      <rPr>
        <i/>
        <sz val="14"/>
        <color indexed="8"/>
        <rFont val="Calibri"/>
        <family val="2"/>
      </rPr>
      <t xml:space="preserve"> + 7.5 x (N</t>
    </r>
    <r>
      <rPr>
        <i/>
        <vertAlign val="subscript"/>
        <sz val="14"/>
        <color indexed="8"/>
        <rFont val="Calibri"/>
        <family val="2"/>
      </rPr>
      <t>br</t>
    </r>
    <r>
      <rPr>
        <i/>
        <sz val="14"/>
        <color indexed="8"/>
        <rFont val="Calibri"/>
        <family val="2"/>
      </rPr>
      <t xml:space="preserve"> + 1)</t>
    </r>
  </si>
  <si>
    <t>Nearest weather station</t>
  </si>
  <si>
    <t>ft.</t>
  </si>
  <si>
    <t>Operable window?</t>
  </si>
  <si>
    <t>Kitchen Fan exists?</t>
  </si>
  <si>
    <t>Min. CFM</t>
  </si>
  <si>
    <t>Deficit CFM</t>
  </si>
  <si>
    <t>Local Exhaust deficit</t>
  </si>
  <si>
    <t>Whole House Ventilation</t>
  </si>
  <si>
    <t>Q total (cfm)
total ventilation required     (Whole House + Exhaust Deficit)</t>
  </si>
  <si>
    <r>
      <t xml:space="preserve">Q fan (cfm) = Qtot-Qinf       </t>
    </r>
    <r>
      <rPr>
        <sz val="12"/>
        <color indexed="8"/>
        <rFont val="Calibri"/>
        <family val="2"/>
      </rPr>
      <t>Q</t>
    </r>
    <r>
      <rPr>
        <vertAlign val="subscript"/>
        <sz val="12"/>
        <color indexed="8"/>
        <rFont val="Calibri"/>
        <family val="2"/>
      </rPr>
      <t>inf</t>
    </r>
    <r>
      <rPr>
        <sz val="12"/>
        <color indexed="8"/>
        <rFont val="Calibri"/>
        <family val="2"/>
      </rPr>
      <t xml:space="preserve"> may be no greater than 2/3 * Q</t>
    </r>
    <r>
      <rPr>
        <vertAlign val="subscript"/>
        <sz val="12"/>
        <color indexed="8"/>
        <rFont val="Calibri"/>
        <family val="2"/>
      </rPr>
      <t>tot</t>
    </r>
    <r>
      <rPr>
        <sz val="12"/>
        <color indexed="8"/>
        <rFont val="Calibri"/>
        <family val="2"/>
      </rPr>
      <t xml:space="preserve"> in </t>
    </r>
    <r>
      <rPr>
        <b/>
        <sz val="12"/>
        <color indexed="8"/>
        <rFont val="Calibri"/>
        <family val="2"/>
      </rPr>
      <t>new</t>
    </r>
    <r>
      <rPr>
        <sz val="12"/>
        <color indexed="8"/>
        <rFont val="Calibri"/>
        <family val="2"/>
      </rPr>
      <t xml:space="preserve"> buildings.</t>
    </r>
  </si>
  <si>
    <r>
      <t xml:space="preserve">Q fan (cfm) = Qtot-Qinf       Use full </t>
    </r>
    <r>
      <rPr>
        <sz val="12"/>
        <color indexed="8"/>
        <rFont val="Calibri"/>
        <family val="2"/>
      </rPr>
      <t>Q</t>
    </r>
    <r>
      <rPr>
        <vertAlign val="subscript"/>
        <sz val="12"/>
        <color indexed="8"/>
        <rFont val="Calibri"/>
        <family val="2"/>
      </rPr>
      <t>inf</t>
    </r>
    <r>
      <rPr>
        <sz val="12"/>
        <color indexed="8"/>
        <rFont val="Calibri"/>
        <family val="2"/>
      </rPr>
      <t xml:space="preserve"> credit for </t>
    </r>
    <r>
      <rPr>
        <b/>
        <sz val="12"/>
        <color indexed="8"/>
        <rFont val="Calibri"/>
        <family val="2"/>
      </rPr>
      <t>existing</t>
    </r>
    <r>
      <rPr>
        <sz val="12"/>
        <color indexed="8"/>
        <rFont val="Calibri"/>
        <family val="2"/>
      </rPr>
      <t xml:space="preserve"> buildings per Appendix A2.</t>
    </r>
  </si>
  <si>
    <t>Apply Infiltration Credit?</t>
  </si>
  <si>
    <t>Final Ventilation Calculation</t>
  </si>
  <si>
    <t>Local Ventilation Deficit:</t>
  </si>
  <si>
    <t>Deficit</t>
  </si>
  <si>
    <t xml:space="preserve">Operable window? </t>
  </si>
  <si>
    <r>
      <t>= new bldg Q</t>
    </r>
    <r>
      <rPr>
        <b/>
        <vertAlign val="subscript"/>
        <sz val="12"/>
        <color indexed="8"/>
        <rFont val="Calibri"/>
        <family val="2"/>
      </rPr>
      <t>inf</t>
    </r>
  </si>
  <si>
    <t xml:space="preserve">
Q Infiltration (cfm)
(existing bldg)</t>
  </si>
  <si>
    <r>
      <t>The larger of (N</t>
    </r>
    <r>
      <rPr>
        <vertAlign val="subscript"/>
        <sz val="12"/>
        <color indexed="8"/>
        <rFont val="Calibri"/>
        <family val="2"/>
      </rPr>
      <t>br</t>
    </r>
    <r>
      <rPr>
        <sz val="12"/>
        <color indexed="8"/>
        <rFont val="Calibri"/>
        <family val="2"/>
      </rPr>
      <t>+1) or # occupants</t>
    </r>
  </si>
  <si>
    <t>CFM@50</t>
  </si>
  <si>
    <r>
      <t>((Q</t>
    </r>
    <r>
      <rPr>
        <vertAlign val="subscript"/>
        <sz val="11"/>
        <color indexed="8"/>
        <rFont val="Calibri"/>
        <family val="2"/>
      </rPr>
      <t>tot</t>
    </r>
    <r>
      <rPr>
        <sz val="11"/>
        <color theme="1"/>
        <rFont val="Calibri"/>
        <family val="2"/>
        <scheme val="minor"/>
      </rPr>
      <t xml:space="preserve"> - Q</t>
    </r>
    <r>
      <rPr>
        <vertAlign val="subscript"/>
        <sz val="11"/>
        <color indexed="8"/>
        <rFont val="Calibri"/>
        <family val="2"/>
      </rPr>
      <t>fan</t>
    </r>
    <r>
      <rPr>
        <sz val="11"/>
        <color theme="1"/>
        <rFont val="Calibri"/>
        <family val="2"/>
        <scheme val="minor"/>
      </rPr>
      <t>) x 7.3/wsf) x 144</t>
    </r>
  </si>
  <si>
    <r>
      <t>(1000 x [H/H</t>
    </r>
    <r>
      <rPr>
        <vertAlign val="subscript"/>
        <sz val="11"/>
        <color indexed="8"/>
        <rFont val="Calibri"/>
        <family val="2"/>
      </rPr>
      <t>ref</t>
    </r>
    <r>
      <rPr>
        <sz val="11"/>
        <color indexed="8"/>
        <rFont val="Calibri"/>
        <family val="2"/>
      </rPr>
      <t>]</t>
    </r>
    <r>
      <rPr>
        <vertAlign val="superscript"/>
        <sz val="11"/>
        <color indexed="8"/>
        <rFont val="Calibri"/>
        <family val="2"/>
      </rPr>
      <t>^0.4</t>
    </r>
    <r>
      <rPr>
        <sz val="11"/>
        <color indexed="8"/>
        <rFont val="Calibri"/>
        <family val="2"/>
      </rPr>
      <t>) x .055</t>
    </r>
  </si>
  <si>
    <t xml:space="preserve">CFM@50 = </t>
  </si>
  <si>
    <t>Bldg#</t>
  </si>
  <si>
    <t>Job#</t>
  </si>
  <si>
    <t>House type</t>
  </si>
  <si>
    <t>Infiltration no longer meets ventilation needs below:</t>
  </si>
  <si>
    <t>City</t>
  </si>
  <si>
    <t>Kitchen Fan</t>
  </si>
  <si>
    <t>Bath #1 Fan</t>
  </si>
  <si>
    <t>Bath #2 Fan</t>
  </si>
  <si>
    <t>Clothes Dryer</t>
  </si>
  <si>
    <t>Additional Exhaust Ventilation</t>
  </si>
  <si>
    <t>Total Exhaust CFM</t>
  </si>
  <si>
    <t>Final Blower Door CFM</t>
  </si>
  <si>
    <t>Predicted Depressurization</t>
  </si>
  <si>
    <t>Pascals</t>
  </si>
  <si>
    <t>(</t>
  </si>
  <si>
    <t>Sum of Exhaust CFM</t>
  </si>
  <si>
    <t>Blower Door CFM</t>
  </si>
  <si>
    <t>)</t>
  </si>
  <si>
    <t>1/0.65</t>
  </si>
  <si>
    <t>-50 x</t>
  </si>
  <si>
    <t>Predicted Depressurization   =</t>
  </si>
  <si>
    <t>FAN CYCLE CALCULATION</t>
  </si>
  <si>
    <t>Notes:</t>
  </si>
  <si>
    <t>,         ZIP</t>
  </si>
  <si>
    <t>minutes of ON time per day.</t>
  </si>
  <si>
    <t>hours of ON time per day.</t>
  </si>
  <si>
    <t>minutes of ON time required per hour (assumes 60 minute cycle, 24 cycles per day).</t>
  </si>
  <si>
    <t>Number of bedrooms in dwelling unit</t>
  </si>
  <si>
    <t>Measured Ventilation Rate</t>
  </si>
  <si>
    <t>DWELLING UNIT VENTILATION CALCULATION</t>
  </si>
  <si>
    <t>Square feet of dwelling unit</t>
  </si>
  <si>
    <t>Small Homes Flowchart 1</t>
  </si>
  <si>
    <t>Small Homes Flowchart 2</t>
  </si>
  <si>
    <t>Multifamily Flow Chart 1</t>
  </si>
  <si>
    <t>Multifamily Flow Chart 2</t>
  </si>
  <si>
    <t xml:space="preserve">Does Kitchen Fan exist? </t>
  </si>
  <si>
    <t>Yes   No</t>
  </si>
  <si>
    <t>Inf. Cred. Sw.</t>
  </si>
  <si>
    <t>- Pa.</t>
  </si>
  <si>
    <t>Selected Depressurization Limit</t>
  </si>
  <si>
    <t>Depressurization Limit with 2/3 Margin</t>
  </si>
  <si>
    <t>1st Bath Fan exists?</t>
  </si>
  <si>
    <t xml:space="preserve">   Yes  No</t>
  </si>
  <si>
    <t xml:space="preserve">(from 'Small Homes Ventilation' sheet). </t>
  </si>
  <si>
    <t xml:space="preserve">Ventilation Subtotal Deficit: </t>
  </si>
  <si>
    <r>
      <t>Q</t>
    </r>
    <r>
      <rPr>
        <b/>
        <vertAlign val="subscript"/>
        <sz val="12"/>
        <color theme="9" tint="0.79998168889431442"/>
        <rFont val="Calibri"/>
        <family val="2"/>
      </rPr>
      <t>FAN</t>
    </r>
    <r>
      <rPr>
        <b/>
        <sz val="12"/>
        <color theme="9" tint="0.79998168889431442"/>
        <rFont val="Calibri"/>
        <family val="2"/>
      </rPr>
      <t xml:space="preserve"> value IF local deficit fixed:</t>
    </r>
  </si>
  <si>
    <t xml:space="preserve">    Yes  No</t>
  </si>
  <si>
    <t>Operable Window?</t>
  </si>
  <si>
    <t>J-Y/N</t>
  </si>
  <si>
    <t>P-Y/N</t>
  </si>
  <si>
    <t>Use 'Local Exhaust Ventilation' tab for additional fan calculations.</t>
  </si>
  <si>
    <t>2nd Kitchen</t>
  </si>
  <si>
    <t>Room exists?</t>
  </si>
  <si>
    <t>NOTES:</t>
  </si>
  <si>
    <t xml:space="preserve">Does Bath #1 Fan exist? </t>
  </si>
  <si>
    <t>Measured rate</t>
  </si>
  <si>
    <t xml:space="preserve">Does a Bath #2 exist? </t>
  </si>
  <si>
    <t>Ventilation Subtotal Deficit</t>
  </si>
  <si>
    <t>3rd Kitchen</t>
  </si>
  <si>
    <t>4th Kitchen</t>
  </si>
  <si>
    <t>5th Kitchen</t>
  </si>
  <si>
    <t>6th Kitchen</t>
  </si>
  <si>
    <t>3rd Bath</t>
  </si>
  <si>
    <t>4th Bath</t>
  </si>
  <si>
    <t>5th Bath</t>
  </si>
  <si>
    <t>6th Bath</t>
  </si>
  <si>
    <t>7th Bath</t>
  </si>
  <si>
    <t>8th Bath</t>
  </si>
  <si>
    <t>9th Bath</t>
  </si>
  <si>
    <t>10th Bath</t>
  </si>
  <si>
    <t>11th Bath</t>
  </si>
  <si>
    <t>12th Bath</t>
  </si>
  <si>
    <t>vertical distance from lowest above-grade floor to highest ceiling (here calculated as stories x ceiling height)</t>
  </si>
  <si>
    <t xml:space="preserve">  NOTE: Per ASHRAE, ventilation requirements do not apply to ½ baths.</t>
  </si>
  <si>
    <t>Infiltration + 15 CFM no longer meets ventilation needs below:</t>
  </si>
  <si>
    <t xml:space="preserve">Does Bath #2 exist? </t>
  </si>
  <si>
    <t>Subtotal from 'Local Exhaust Ventilation' tab.</t>
  </si>
  <si>
    <r>
      <t>Instructions: Enter building data into the</t>
    </r>
    <r>
      <rPr>
        <b/>
        <sz val="16"/>
        <color indexed="21"/>
        <rFont val="Calibri"/>
        <family val="2"/>
      </rPr>
      <t xml:space="preserve"> </t>
    </r>
    <r>
      <rPr>
        <b/>
        <sz val="16"/>
        <color rgb="FF92D050"/>
        <rFont val="Calibri"/>
        <family val="2"/>
      </rPr>
      <t>green</t>
    </r>
    <r>
      <rPr>
        <b/>
        <sz val="16"/>
        <color indexed="8"/>
        <rFont val="Calibri"/>
        <family val="2"/>
      </rPr>
      <t xml:space="preserve"> cells below.  The </t>
    </r>
    <r>
      <rPr>
        <b/>
        <sz val="16"/>
        <color rgb="FFEBE600"/>
        <rFont val="Calibri"/>
        <family val="2"/>
      </rPr>
      <t>yellow</t>
    </r>
    <r>
      <rPr>
        <b/>
        <sz val="16"/>
        <color indexed="8"/>
        <rFont val="Calibri"/>
        <family val="2"/>
      </rPr>
      <t xml:space="preserve"> cells are calculation results.  </t>
    </r>
  </si>
  <si>
    <t>62.2-2016 Calculations</t>
  </si>
  <si>
    <t>Supporting calculations: based on ASHRAE 62.2-2016.</t>
  </si>
  <si>
    <t>DWELLING-UNIT VENTILATION CALCULATION</t>
  </si>
  <si>
    <r>
      <t>Q</t>
    </r>
    <r>
      <rPr>
        <b/>
        <vertAlign val="subscript"/>
        <sz val="14"/>
        <color indexed="8"/>
        <rFont val="Calibri"/>
        <family val="2"/>
      </rPr>
      <t>FAN</t>
    </r>
    <r>
      <rPr>
        <b/>
        <sz val="14"/>
        <color indexed="8"/>
        <rFont val="Calibri"/>
        <family val="2"/>
      </rPr>
      <t xml:space="preserve"> Required Mechanical Ventilation:</t>
    </r>
  </si>
  <si>
    <t>LOCAL EXHAUST CALCULATION</t>
  </si>
  <si>
    <t xml:space="preserve">Total Local Exhaust Deficit: </t>
  </si>
  <si>
    <r>
      <t>Q</t>
    </r>
    <r>
      <rPr>
        <b/>
        <vertAlign val="subscript"/>
        <sz val="12"/>
        <color indexed="8"/>
        <rFont val="Calibri"/>
        <family val="2"/>
      </rPr>
      <t>TOT</t>
    </r>
    <r>
      <rPr>
        <b/>
        <sz val="12"/>
        <color indexed="8"/>
        <rFont val="Calibri"/>
        <family val="2"/>
      </rPr>
      <t xml:space="preserve"> Dwelling-Unit Ventilation:</t>
    </r>
  </si>
  <si>
    <t>1/4 of Local Exhaust Deficit:</t>
  </si>
  <si>
    <t>Proportional Infiltration Credit Worksheet</t>
  </si>
  <si>
    <r>
      <rPr>
        <b/>
        <sz val="14"/>
        <color indexed="8"/>
        <rFont val="Calibri"/>
        <family val="2"/>
      </rPr>
      <t>Q</t>
    </r>
    <r>
      <rPr>
        <b/>
        <vertAlign val="subscript"/>
        <sz val="14"/>
        <color indexed="8"/>
        <rFont val="Calibri"/>
        <family val="2"/>
      </rPr>
      <t>TOT</t>
    </r>
    <r>
      <rPr>
        <b/>
        <sz val="12"/>
        <color indexed="8"/>
        <rFont val="Calibri"/>
        <family val="2"/>
      </rPr>
      <t xml:space="preserve"> Whole Dwelling Unit Ventilation:</t>
    </r>
  </si>
  <si>
    <t xml:space="preserve">Number of bedrooms </t>
  </si>
  <si>
    <t xml:space="preserve">Number of occupants </t>
  </si>
  <si>
    <t>Single Unit Common Envelope Area</t>
  </si>
  <si>
    <t>Total Envelope Area of Dwelling Unit</t>
  </si>
  <si>
    <t>Common Envelope Area of Left Side</t>
  </si>
  <si>
    <t>Common Envelope Area of Right Side</t>
  </si>
  <si>
    <t>Percentage of Envelope exposed to Outside</t>
  </si>
  <si>
    <r>
      <t>A</t>
    </r>
    <r>
      <rPr>
        <b/>
        <vertAlign val="subscript"/>
        <sz val="11"/>
        <color theme="1"/>
        <rFont val="Calibri"/>
        <family val="2"/>
        <scheme val="minor"/>
      </rPr>
      <t xml:space="preserve">T 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</si>
  <si>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 xml:space="preserve">C 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</si>
  <si>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EXT</t>
    </r>
    <r>
      <rPr>
        <b/>
        <sz val="11"/>
        <color theme="1"/>
        <rFont val="Calibri"/>
        <family val="2"/>
        <scheme val="minor"/>
      </rPr>
      <t xml:space="preserve"> </t>
    </r>
  </si>
  <si>
    <r>
      <t>Allowed Infiltration Credit (Q</t>
    </r>
    <r>
      <rPr>
        <b/>
        <vertAlign val="subscript"/>
        <sz val="11"/>
        <color theme="1"/>
        <rFont val="Calibri"/>
        <family val="2"/>
        <scheme val="minor"/>
      </rPr>
      <t>INF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A</t>
    </r>
    <r>
      <rPr>
        <b/>
        <vertAlign val="subscript"/>
        <sz val="11"/>
        <color theme="1"/>
        <rFont val="Calibri"/>
        <family val="2"/>
        <scheme val="minor"/>
      </rPr>
      <t>EXT</t>
    </r>
    <r>
      <rPr>
        <b/>
        <sz val="11"/>
        <color theme="1"/>
        <rFont val="Calibri"/>
        <family val="2"/>
        <scheme val="minor"/>
      </rPr>
      <t>)</t>
    </r>
  </si>
  <si>
    <r>
      <t>A</t>
    </r>
    <r>
      <rPr>
        <b/>
        <vertAlign val="subscript"/>
        <sz val="11"/>
        <color theme="1"/>
        <rFont val="Calibri"/>
        <family val="2"/>
        <scheme val="minor"/>
      </rPr>
      <t>EXT</t>
    </r>
    <r>
      <rPr>
        <b/>
        <sz val="11"/>
        <color theme="1"/>
        <rFont val="Calibri"/>
        <family val="2"/>
        <scheme val="minor"/>
      </rPr>
      <t xml:space="preserve"> = (A</t>
    </r>
    <r>
      <rPr>
        <b/>
        <vertAlign val="subscript"/>
        <sz val="11"/>
        <color theme="1"/>
        <rFont val="Calibri"/>
        <family val="2"/>
        <scheme val="minor"/>
      </rPr>
      <t xml:space="preserve">T </t>
    </r>
    <r>
      <rPr>
        <b/>
        <sz val="11"/>
        <color theme="1"/>
        <rFont val="Calibri"/>
        <family val="2"/>
        <scheme val="minor"/>
      </rPr>
      <t>- A</t>
    </r>
    <r>
      <rPr>
        <b/>
        <vertAlign val="subscript"/>
        <sz val="11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)/A</t>
    </r>
    <r>
      <rPr>
        <b/>
        <vertAlign val="subscript"/>
        <sz val="11"/>
        <color theme="1"/>
        <rFont val="Calibri"/>
        <family val="2"/>
        <scheme val="minor"/>
      </rPr>
      <t>T</t>
    </r>
  </si>
  <si>
    <t>Total Common Area of Dwelling Unit</t>
  </si>
  <si>
    <t>Single Unit Total Envelope Area of Dwelling Unit</t>
  </si>
  <si>
    <t>Exterior Area of Front</t>
  </si>
  <si>
    <t xml:space="preserve">Exterior Area of Back </t>
  </si>
  <si>
    <t>Area of Attic</t>
  </si>
  <si>
    <t>Area of soil-side</t>
  </si>
  <si>
    <t xml:space="preserve">Area of Left Side </t>
  </si>
  <si>
    <t xml:space="preserve">Area of Right Side </t>
  </si>
  <si>
    <t>Detached dwelling?</t>
  </si>
  <si>
    <t xml:space="preserve">WAP Agency  </t>
  </si>
  <si>
    <t>source: Collin Olson, alternative to Eq 4.2 &amp; 4.3</t>
  </si>
  <si>
    <t>Only walls in common</t>
  </si>
  <si>
    <t>with other units?</t>
  </si>
  <si>
    <r>
      <t>ELA = (L</t>
    </r>
    <r>
      <rPr>
        <vertAlign val="subscript"/>
        <sz val="11"/>
        <color theme="1"/>
        <rFont val="Calibri"/>
        <family val="2"/>
        <scheme val="minor"/>
      </rPr>
      <t>PRESS</t>
    </r>
    <r>
      <rPr>
        <sz val="11"/>
        <color theme="1"/>
        <rFont val="Calibri"/>
        <family val="2"/>
        <scheme val="minor"/>
      </rPr>
      <t xml:space="preserve"> + L</t>
    </r>
    <r>
      <rPr>
        <vertAlign val="subscript"/>
        <sz val="11"/>
        <color theme="1"/>
        <rFont val="Calibri"/>
        <family val="2"/>
        <scheme val="minor"/>
      </rPr>
      <t>DEPRESS</t>
    </r>
    <r>
      <rPr>
        <sz val="11"/>
        <color theme="1"/>
        <rFont val="Calibri"/>
        <family val="2"/>
        <scheme val="minor"/>
      </rPr>
      <t>)/2</t>
    </r>
  </si>
  <si>
    <t>ELA = (CFM50 x 0.055)/144</t>
  </si>
  <si>
    <r>
      <t>Q</t>
    </r>
    <r>
      <rPr>
        <vertAlign val="subscript"/>
        <sz val="11"/>
        <color theme="1"/>
        <rFont val="Calibri"/>
        <family val="2"/>
        <scheme val="minor"/>
      </rPr>
      <t>INF</t>
    </r>
    <r>
      <rPr>
        <sz val="11"/>
        <color theme="1"/>
        <rFont val="Calibri"/>
        <family val="2"/>
        <scheme val="minor"/>
      </rPr>
      <t xml:space="preserve"> = NL x wsf x A</t>
    </r>
    <r>
      <rPr>
        <vertAlign val="subscript"/>
        <sz val="11"/>
        <color theme="1"/>
        <rFont val="Calibri"/>
        <family val="2"/>
        <scheme val="minor"/>
      </rPr>
      <t>FLOOR</t>
    </r>
    <r>
      <rPr>
        <sz val="11"/>
        <color theme="1"/>
        <rFont val="Calibri"/>
        <family val="2"/>
        <scheme val="minor"/>
      </rPr>
      <t>/7.3</t>
    </r>
  </si>
  <si>
    <r>
      <t>Q</t>
    </r>
    <r>
      <rPr>
        <vertAlign val="subscript"/>
        <sz val="11"/>
        <color theme="1"/>
        <rFont val="Calibri"/>
        <family val="2"/>
        <scheme val="minor"/>
      </rPr>
      <t>TOT</t>
    </r>
    <r>
      <rPr>
        <sz val="11"/>
        <color theme="1"/>
        <rFont val="Calibri"/>
        <family val="2"/>
        <scheme val="minor"/>
      </rPr>
      <t xml:space="preserve"> = 0.03A</t>
    </r>
    <r>
      <rPr>
        <vertAlign val="subscript"/>
        <sz val="11"/>
        <color theme="1"/>
        <rFont val="Calibri"/>
        <family val="2"/>
        <scheme val="minor"/>
      </rPr>
      <t>FLOOR</t>
    </r>
    <r>
      <rPr>
        <sz val="11"/>
        <color theme="1"/>
        <rFont val="Calibri"/>
        <family val="2"/>
        <scheme val="minor"/>
      </rPr>
      <t xml:space="preserve"> +7.5(N</t>
    </r>
    <r>
      <rPr>
        <vertAlign val="subscript"/>
        <sz val="11"/>
        <color theme="1"/>
        <rFont val="Calibri"/>
        <family val="2"/>
        <scheme val="minor"/>
      </rPr>
      <t>BR</t>
    </r>
    <r>
      <rPr>
        <sz val="11"/>
        <color theme="1"/>
        <rFont val="Calibri"/>
        <family val="2"/>
        <scheme val="minor"/>
      </rPr>
      <t xml:space="preserve"> + 1)</t>
    </r>
  </si>
  <si>
    <r>
      <t>Q</t>
    </r>
    <r>
      <rPr>
        <vertAlign val="subscript"/>
        <sz val="11"/>
        <color theme="1"/>
        <rFont val="Calibri"/>
        <family val="2"/>
        <scheme val="minor"/>
      </rPr>
      <t>FAN</t>
    </r>
    <r>
      <rPr>
        <sz val="11"/>
        <color theme="1"/>
        <rFont val="Calibri"/>
        <family val="2"/>
        <scheme val="minor"/>
      </rPr>
      <t xml:space="preserve"> = Q</t>
    </r>
    <r>
      <rPr>
        <vertAlign val="subscript"/>
        <sz val="11"/>
        <color theme="1"/>
        <rFont val="Calibri"/>
        <family val="2"/>
        <scheme val="minor"/>
      </rPr>
      <t>TOT</t>
    </r>
    <r>
      <rPr>
        <sz val="11"/>
        <color theme="1"/>
        <rFont val="Calibri"/>
        <family val="2"/>
        <scheme val="minor"/>
      </rPr>
      <t xml:space="preserve"> – (Q</t>
    </r>
    <r>
      <rPr>
        <vertAlign val="subscript"/>
        <sz val="11"/>
        <color theme="1"/>
        <rFont val="Calibri"/>
        <family val="2"/>
        <scheme val="minor"/>
      </rPr>
      <t>INF</t>
    </r>
    <r>
      <rPr>
        <sz val="11"/>
        <color theme="1"/>
        <rFont val="Calibri"/>
        <family val="2"/>
        <scheme val="minor"/>
      </rPr>
      <t xml:space="preserve"> x A</t>
    </r>
    <r>
      <rPr>
        <vertAlign val="subscript"/>
        <sz val="11"/>
        <color theme="1"/>
        <rFont val="Calibri"/>
        <family val="2"/>
        <scheme val="minor"/>
      </rPr>
      <t>EXT</t>
    </r>
    <r>
      <rPr>
        <sz val="11"/>
        <color theme="1"/>
        <rFont val="Calibri"/>
        <family val="2"/>
        <scheme val="minor"/>
      </rPr>
      <t>)</t>
    </r>
  </si>
  <si>
    <t xml:space="preserve">ELA </t>
  </si>
  <si>
    <r>
      <t>A</t>
    </r>
    <r>
      <rPr>
        <vertAlign val="subscript"/>
        <sz val="11"/>
        <color theme="1"/>
        <rFont val="Calibri"/>
        <family val="2"/>
        <scheme val="minor"/>
      </rPr>
      <t>FLOOR</t>
    </r>
  </si>
  <si>
    <r>
      <t>H</t>
    </r>
    <r>
      <rPr>
        <vertAlign val="subscript"/>
        <sz val="11"/>
        <color theme="1"/>
        <rFont val="Calibri"/>
        <family val="2"/>
        <scheme val="minor"/>
      </rPr>
      <t>r</t>
    </r>
  </si>
  <si>
    <r>
      <t>Q</t>
    </r>
    <r>
      <rPr>
        <vertAlign val="subscript"/>
        <sz val="11"/>
        <color theme="1"/>
        <rFont val="Calibri"/>
        <family val="2"/>
        <scheme val="minor"/>
      </rPr>
      <t>INF</t>
    </r>
  </si>
  <si>
    <r>
      <t>Q</t>
    </r>
    <r>
      <rPr>
        <vertAlign val="subscript"/>
        <sz val="11"/>
        <color theme="1"/>
        <rFont val="Calibri"/>
        <family val="2"/>
        <scheme val="minor"/>
      </rPr>
      <t>TOT</t>
    </r>
  </si>
  <si>
    <r>
      <t>Q</t>
    </r>
    <r>
      <rPr>
        <vertAlign val="subscript"/>
        <sz val="11"/>
        <color theme="1"/>
        <rFont val="Calibri"/>
        <family val="2"/>
        <scheme val="minor"/>
      </rPr>
      <t>FAN</t>
    </r>
  </si>
  <si>
    <t>Dwelling Unit 1</t>
  </si>
  <si>
    <r>
      <t>N</t>
    </r>
    <r>
      <rPr>
        <vertAlign val="subscript"/>
        <sz val="11"/>
        <color theme="1"/>
        <rFont val="Calibri"/>
        <family val="2"/>
        <scheme val="minor"/>
      </rPr>
      <t>BR</t>
    </r>
  </si>
  <si>
    <r>
      <t>A</t>
    </r>
    <r>
      <rPr>
        <vertAlign val="subscript"/>
        <sz val="11"/>
        <color theme="1"/>
        <rFont val="Calibri"/>
        <family val="2"/>
        <scheme val="minor"/>
      </rPr>
      <t>EXT</t>
    </r>
  </si>
  <si>
    <t>Dwelling Unit 2</t>
  </si>
  <si>
    <t>Dwelling Unit 3</t>
  </si>
  <si>
    <t>Dwelling Unit 4</t>
  </si>
  <si>
    <t>Ceiling Height</t>
  </si>
  <si>
    <t>Number stories within dwelling unit</t>
  </si>
  <si>
    <t>S</t>
  </si>
  <si>
    <r>
      <t>NL = 1000 x ELA/A</t>
    </r>
    <r>
      <rPr>
        <vertAlign val="subscript"/>
        <sz val="11"/>
        <color theme="1"/>
        <rFont val="Calibri"/>
        <family val="2"/>
        <scheme val="minor"/>
      </rPr>
      <t>FLOOR</t>
    </r>
    <r>
      <rPr>
        <sz val="11"/>
        <color theme="1"/>
        <rFont val="Calibri"/>
        <family val="2"/>
        <scheme val="minor"/>
      </rPr>
      <t xml:space="preserve"> x [(HxS)/Hr]</t>
    </r>
    <r>
      <rPr>
        <vertAlign val="superscript"/>
        <sz val="11"/>
        <color theme="1"/>
        <rFont val="Calibri"/>
        <family val="2"/>
        <scheme val="minor"/>
      </rPr>
      <t>0.4</t>
    </r>
  </si>
  <si>
    <t>Number of Stories</t>
  </si>
  <si>
    <r>
      <t>Q</t>
    </r>
    <r>
      <rPr>
        <b/>
        <vertAlign val="subscript"/>
        <sz val="12"/>
        <color indexed="8"/>
        <rFont val="Calibri"/>
        <family val="2"/>
      </rPr>
      <t xml:space="preserve">INF  </t>
    </r>
    <r>
      <rPr>
        <b/>
        <sz val="12"/>
        <color indexed="8"/>
        <rFont val="Calibri"/>
        <family val="2"/>
      </rPr>
      <t>Apply infiltration credit?</t>
    </r>
  </si>
  <si>
    <t>Table B1: WSF factors for New York State cities (from normative Appendix B, ASHRAE 62.2-2016)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</si>
  <si>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INF</t>
    </r>
    <r>
      <rPr>
        <b/>
        <sz val="11"/>
        <color theme="1"/>
        <rFont val="Calibri"/>
        <family val="2"/>
        <scheme val="minor"/>
      </rPr>
      <t xml:space="preserve"> for Dwelling Unit </t>
    </r>
  </si>
  <si>
    <r>
      <t>Q</t>
    </r>
    <r>
      <rPr>
        <vertAlign val="subscript"/>
        <sz val="11"/>
        <color theme="1"/>
        <rFont val="Calibri"/>
        <family val="2"/>
        <scheme val="minor"/>
      </rPr>
      <t>TOT</t>
    </r>
    <r>
      <rPr>
        <sz val="11"/>
        <color theme="1"/>
        <rFont val="Calibri"/>
        <family val="2"/>
        <scheme val="minor"/>
      </rPr>
      <t xml:space="preserve"> = Q</t>
    </r>
    <r>
      <rPr>
        <vertAlign val="subscript"/>
        <sz val="11"/>
        <color theme="1"/>
        <rFont val="Calibri"/>
        <family val="2"/>
        <scheme val="minor"/>
      </rPr>
      <t>TOT</t>
    </r>
    <r>
      <rPr>
        <sz val="11"/>
        <color theme="1"/>
        <rFont val="Calibri"/>
        <family val="2"/>
        <scheme val="minor"/>
      </rPr>
      <t xml:space="preserve"> + Q</t>
    </r>
    <r>
      <rPr>
        <vertAlign val="subscript"/>
        <sz val="11"/>
        <color theme="1"/>
        <rFont val="Calibri"/>
        <family val="2"/>
        <scheme val="minor"/>
      </rPr>
      <t>DEF</t>
    </r>
  </si>
  <si>
    <r>
      <t>Q</t>
    </r>
    <r>
      <rPr>
        <vertAlign val="subscript"/>
        <sz val="11"/>
        <color theme="1"/>
        <rFont val="Calibri"/>
        <family val="2"/>
        <scheme val="minor"/>
      </rPr>
      <t>TOT</t>
    </r>
    <r>
      <rPr>
        <sz val="11"/>
        <color theme="1"/>
        <rFont val="Calibri"/>
        <family val="2"/>
        <scheme val="minor"/>
      </rPr>
      <t xml:space="preserve"> + Q</t>
    </r>
    <r>
      <rPr>
        <vertAlign val="subscript"/>
        <sz val="11"/>
        <color theme="1"/>
        <rFont val="Calibri"/>
        <family val="2"/>
        <scheme val="minor"/>
      </rPr>
      <t>DEF</t>
    </r>
  </si>
  <si>
    <t>Note:</t>
  </si>
  <si>
    <t>"Math on the fly" can be used in calculating</t>
  </si>
  <si>
    <t>square feet. Simply enter length times width</t>
  </si>
  <si>
    <t>Are dwelling units side-by-side only?</t>
  </si>
  <si>
    <t>Yes</t>
  </si>
  <si>
    <t>No</t>
  </si>
  <si>
    <t>Multifamily Calculations</t>
  </si>
  <si>
    <r>
      <t>Q</t>
    </r>
    <r>
      <rPr>
        <vertAlign val="subscript"/>
        <sz val="11"/>
        <color theme="1"/>
        <rFont val="Calibri"/>
        <family val="2"/>
        <scheme val="minor"/>
      </rPr>
      <t>INF</t>
    </r>
    <r>
      <rPr>
        <sz val="11"/>
        <color theme="1"/>
        <rFont val="Calibri"/>
        <family val="2"/>
        <scheme val="minor"/>
      </rPr>
      <t xml:space="preserve"> credit allowed</t>
    </r>
  </si>
  <si>
    <r>
      <t>Q</t>
    </r>
    <r>
      <rPr>
        <b/>
        <vertAlign val="subscript"/>
        <sz val="12"/>
        <color indexed="8"/>
        <rFont val="Calibri"/>
        <family val="2"/>
      </rPr>
      <t>FAN</t>
    </r>
    <r>
      <rPr>
        <b/>
        <sz val="12"/>
        <color indexed="8"/>
        <rFont val="Calibri"/>
        <family val="2"/>
      </rPr>
      <t xml:space="preserve"> Required Mechanical Ventilation:</t>
    </r>
  </si>
  <si>
    <t>Dwelling number of sampled unit</t>
  </si>
  <si>
    <t>Dwelling Unit 5</t>
  </si>
  <si>
    <t>Common Envelope Area of Back</t>
  </si>
  <si>
    <r>
      <t xml:space="preserve">  NOTE: Per ASHRAE, ventilation requirements do not apply to</t>
    </r>
    <r>
      <rPr>
        <b/>
        <sz val="14"/>
        <color rgb="FFFF0000"/>
        <rFont val="Calibri"/>
        <family val="2"/>
        <scheme val="minor"/>
      </rPr>
      <t xml:space="preserve"> ½</t>
    </r>
    <r>
      <rPr>
        <b/>
        <sz val="12"/>
        <color rgb="FFFF0000"/>
        <rFont val="Calibri"/>
        <family val="2"/>
        <scheme val="minor"/>
      </rPr>
      <t xml:space="preserve"> baths.</t>
    </r>
  </si>
  <si>
    <r>
      <t>Instructions: Enter building data into the</t>
    </r>
    <r>
      <rPr>
        <b/>
        <sz val="16"/>
        <color indexed="21"/>
        <rFont val="Calibri"/>
        <family val="2"/>
      </rPr>
      <t xml:space="preserve"> </t>
    </r>
    <r>
      <rPr>
        <b/>
        <sz val="16"/>
        <color rgb="FF00B050"/>
        <rFont val="Calibri"/>
        <family val="2"/>
      </rPr>
      <t>green</t>
    </r>
    <r>
      <rPr>
        <b/>
        <sz val="16"/>
        <color indexed="8"/>
        <rFont val="Calibri"/>
        <family val="2"/>
      </rPr>
      <t xml:space="preserve"> cells below.  The </t>
    </r>
    <r>
      <rPr>
        <b/>
        <sz val="16"/>
        <color rgb="FFEBE600"/>
        <rFont val="Calibri"/>
        <family val="2"/>
      </rPr>
      <t>yellow</t>
    </r>
    <r>
      <rPr>
        <b/>
        <sz val="16"/>
        <color indexed="8"/>
        <rFont val="Calibri"/>
        <family val="2"/>
      </rPr>
      <t xml:space="preserve"> cells are calculation results.  </t>
    </r>
  </si>
  <si>
    <t xml:space="preserve">Dwelling number of sample unit </t>
  </si>
  <si>
    <t>1 Common Side Wall - Unit Type A</t>
  </si>
  <si>
    <t>1 Common Side &amp; 1 Common Back Wall - Unit Type C</t>
  </si>
  <si>
    <t>Common Envelope Area of Front</t>
  </si>
  <si>
    <t xml:space="preserve">2 Common Side Walls - Unit Type B </t>
  </si>
  <si>
    <t xml:space="preserve">2 Common Side Walls &amp; 1 Common Back Wall - Unit Type D </t>
  </si>
  <si>
    <t>These drawings are samples for visualization purposes only.</t>
  </si>
  <si>
    <t>Unit "Types":</t>
  </si>
  <si>
    <t>Enter Unit "Type": A,B,C or D</t>
  </si>
  <si>
    <t>Ceiling height (ft.)</t>
  </si>
  <si>
    <t>Blower Door Final Test Out CFM50:</t>
  </si>
  <si>
    <t xml:space="preserve">Enter required whole dwelling ventilation (cfm). </t>
  </si>
  <si>
    <r>
      <t>Q</t>
    </r>
    <r>
      <rPr>
        <b/>
        <vertAlign val="subscript"/>
        <sz val="14"/>
        <color indexed="8"/>
        <rFont val="Calibri"/>
        <family val="2"/>
      </rPr>
      <t>FAN Required Mechanical Ventilation</t>
    </r>
  </si>
  <si>
    <t>Use this calculator if you are using a timer on an exhaust fan to provide whole dwelling ventilation.</t>
  </si>
  <si>
    <t>Number of Units:</t>
  </si>
  <si>
    <t>New Exhaust fan air flow rating (cfm)</t>
  </si>
  <si>
    <t>Enter flow rating of new fan.</t>
  </si>
  <si>
    <r>
      <t>● If Q</t>
    </r>
    <r>
      <rPr>
        <b/>
        <vertAlign val="subscript"/>
        <sz val="12"/>
        <color theme="1"/>
        <rFont val="Calibri"/>
        <family val="2"/>
        <scheme val="minor"/>
      </rPr>
      <t>FAN</t>
    </r>
    <r>
      <rPr>
        <b/>
        <sz val="12"/>
        <color theme="1"/>
        <rFont val="Calibri"/>
        <family val="2"/>
        <scheme val="minor"/>
      </rPr>
      <t xml:space="preserve"> is 15 CFM or less, no additional local or whole house ventilation is required.                                                                                                                                            
                                                      </t>
    </r>
  </si>
  <si>
    <r>
      <t>● If eliminating the total local exhaust deficit will not reduce the Q</t>
    </r>
    <r>
      <rPr>
        <b/>
        <vertAlign val="subscript"/>
        <sz val="12"/>
        <color theme="1"/>
        <rFont val="Calibri"/>
        <family val="2"/>
        <scheme val="minor"/>
      </rPr>
      <t>FAN</t>
    </r>
    <r>
      <rPr>
        <b/>
        <sz val="12"/>
        <color theme="1"/>
        <rFont val="Calibri"/>
        <family val="2"/>
        <scheme val="minor"/>
      </rPr>
      <t xml:space="preserve"> to 15CFM or less, you can consider installing just a whole house ventilation system.</t>
    </r>
  </si>
  <si>
    <t>● Worst-case depressurization test must always be performed after new ventilation systems are installed.</t>
  </si>
  <si>
    <t>● An HRV/ERV may be considered when the QFAN required mechanical ventilation exceeds 60CFM or when combustion appliances may be affected by exhaust only ventilation.</t>
  </si>
  <si>
    <r>
      <t xml:space="preserve"> </t>
    </r>
    <r>
      <rPr>
        <b/>
        <u/>
        <sz val="14"/>
        <color theme="1"/>
        <rFont val="Calibri"/>
        <family val="2"/>
        <scheme val="minor"/>
      </rPr>
      <t>CONSIDERATIONS</t>
    </r>
  </si>
  <si>
    <t>preceded by an = sign.      Example: =20*17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</si>
</sst>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0\ &quot;CFM50&quot;"/>
    <numFmt numFmtId="166" formatCode="0.000"/>
    <numFmt numFmtId="167" formatCode="&quot;Add&quot;\ 0\ &quot;CFM of ventilation.&quot;"/>
    <numFmt numFmtId="168" formatCode="&quot;Calculates as&quot;\ 0\ &quot;CFM.&quot;"/>
    <numFmt numFmtId="169" formatCode="0\ &quot;CFM&quot;"/>
    <numFmt numFmtId="170" formatCode="#,#00\ &quot;sq. ft.&quot;"/>
    <numFmt numFmtId="171" formatCode="0.0000"/>
  </numFmts>
  <fonts count="9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28"/>
      <color indexed="8"/>
      <name val="Calibri"/>
      <family val="2"/>
    </font>
    <font>
      <b/>
      <i/>
      <sz val="24"/>
      <color indexed="8"/>
      <name val="Calibri"/>
      <family val="2"/>
    </font>
    <font>
      <b/>
      <sz val="12"/>
      <color indexed="8"/>
      <name val="Calibri"/>
      <family val="2"/>
    </font>
    <font>
      <i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2"/>
      <name val="Calibri"/>
      <family val="2"/>
    </font>
    <font>
      <b/>
      <sz val="11"/>
      <color indexed="10"/>
      <name val="Calibri"/>
      <family val="2"/>
    </font>
    <font>
      <b/>
      <sz val="12"/>
      <color indexed="8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6"/>
      <name val="Calibri"/>
      <family val="2"/>
    </font>
    <font>
      <sz val="8"/>
      <name val="Calibri"/>
      <family val="2"/>
    </font>
    <font>
      <vertAlign val="subscript"/>
      <sz val="12"/>
      <color indexed="8"/>
      <name val="Calibri"/>
      <family val="2"/>
    </font>
    <font>
      <i/>
      <vertAlign val="subscript"/>
      <sz val="14"/>
      <color indexed="8"/>
      <name val="Calibri"/>
      <family val="2"/>
    </font>
    <font>
      <i/>
      <vertAlign val="subscript"/>
      <sz val="11"/>
      <color indexed="8"/>
      <name val="Calibri"/>
      <family val="2"/>
    </font>
    <font>
      <vertAlign val="subscript"/>
      <sz val="11"/>
      <color indexed="8"/>
      <name val="Calibri"/>
      <family val="2"/>
    </font>
    <font>
      <i/>
      <vertAlign val="superscript"/>
      <sz val="14"/>
      <color indexed="8"/>
      <name val="Calibri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u/>
      <sz val="14"/>
      <color indexed="8"/>
      <name val="Calibri"/>
      <family val="2"/>
    </font>
    <font>
      <b/>
      <vertAlign val="subscript"/>
      <sz val="12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4"/>
      <name val="Calibri"/>
      <family val="2"/>
    </font>
    <font>
      <b/>
      <sz val="16"/>
      <color indexed="21"/>
      <name val="Calibri"/>
      <family val="2"/>
    </font>
    <font>
      <b/>
      <sz val="14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9" tint="0.7999816888943144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2"/>
      <color theme="9" tint="0.79998168889431442"/>
      <name val="Calibri"/>
      <family val="2"/>
      <scheme val="minor"/>
    </font>
    <font>
      <sz val="11"/>
      <color theme="9" tint="0.7999816888943144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2"/>
      <name val="Calibri"/>
      <family val="2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6" tint="0.5999938962981048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0.79998168889431442"/>
      <name val="Calibri"/>
      <family val="2"/>
    </font>
    <font>
      <b/>
      <sz val="12"/>
      <color theme="9" tint="0.79998168889431442"/>
      <name val="Calibri"/>
      <family val="2"/>
      <scheme val="minor"/>
    </font>
    <font>
      <sz val="12"/>
      <color theme="9" tint="0.7999816888943144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44"/>
      <color theme="1"/>
      <name val="Arial Narrow"/>
      <family val="2"/>
    </font>
    <font>
      <sz val="36"/>
      <color theme="1"/>
      <name val="Calibri"/>
      <family val="2"/>
      <scheme val="minor"/>
    </font>
    <font>
      <b/>
      <vertAlign val="subscript"/>
      <sz val="12"/>
      <color theme="9" tint="0.79998168889431442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rgb="FFEAF1DD"/>
      <name val="Calibri"/>
      <family val="2"/>
      <scheme val="minor"/>
    </font>
    <font>
      <sz val="11"/>
      <color rgb="FFD7E4BC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bscript"/>
      <sz val="14"/>
      <color indexed="8"/>
      <name val="Calibri"/>
      <family val="2"/>
    </font>
    <font>
      <sz val="12"/>
      <name val="Calibri"/>
      <family val="2"/>
      <scheme val="minor"/>
    </font>
    <font>
      <b/>
      <sz val="16"/>
      <color rgb="FF92D050"/>
      <name val="Calibri"/>
      <family val="2"/>
    </font>
    <font>
      <b/>
      <sz val="16"/>
      <color rgb="FFEBE600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</font>
    <font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FF0000"/>
      <name val="Calibri"/>
      <family val="2"/>
    </font>
    <font>
      <b/>
      <sz val="16"/>
      <color rgb="FF00B050"/>
      <name val="Calibri"/>
      <family val="2"/>
    </font>
    <font>
      <b/>
      <sz val="32"/>
      <color rgb="FF000000"/>
      <name val="Calibri"/>
      <family val="2"/>
      <scheme val="minor"/>
    </font>
    <font>
      <b/>
      <sz val="13"/>
      <color indexed="8"/>
      <name val="Calibri"/>
      <family val="2"/>
    </font>
    <font>
      <b/>
      <vertAlign val="subscript"/>
      <sz val="12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5FE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0F0B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auto="1"/>
      </patternFill>
    </fill>
    <fill>
      <patternFill patternType="solid">
        <fgColor rgb="FFDDFBFF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2" fillId="0" borderId="0" applyFont="0" applyFill="0" applyBorder="0" applyAlignment="0" applyProtection="0"/>
    <xf numFmtId="0" fontId="83" fillId="20" borderId="0" applyNumberFormat="0" applyBorder="0" applyAlignment="0" applyProtection="0"/>
  </cellStyleXfs>
  <cellXfs count="798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10" fillId="0" borderId="0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7" fillId="0" borderId="0" xfId="0" applyFont="1" applyProtection="1"/>
    <xf numFmtId="0" fontId="0" fillId="0" borderId="0" xfId="0" applyProtection="1"/>
    <xf numFmtId="0" fontId="10" fillId="0" borderId="0" xfId="0" applyFont="1" applyProtection="1"/>
    <xf numFmtId="0" fontId="0" fillId="0" borderId="1" xfId="0" applyFont="1" applyBorder="1" applyAlignment="1" applyProtection="1">
      <alignment wrapText="1"/>
    </xf>
    <xf numFmtId="0" fontId="0" fillId="0" borderId="2" xfId="0" applyFont="1" applyBorder="1" applyAlignment="1" applyProtection="1">
      <alignment wrapText="1"/>
    </xf>
    <xf numFmtId="0" fontId="0" fillId="0" borderId="0" xfId="0" applyProtection="1">
      <protection locked="0"/>
    </xf>
    <xf numFmtId="0" fontId="0" fillId="0" borderId="0" xfId="0" applyBorder="1" applyProtection="1"/>
    <xf numFmtId="0" fontId="0" fillId="0" borderId="0" xfId="0" applyAlignment="1" applyProtection="1">
      <alignment vertical="center"/>
    </xf>
    <xf numFmtId="0" fontId="15" fillId="0" borderId="0" xfId="0" applyFont="1" applyProtection="1"/>
    <xf numFmtId="0" fontId="9" fillId="0" borderId="0" xfId="0" applyFont="1" applyBorder="1" applyProtection="1"/>
    <xf numFmtId="0" fontId="0" fillId="0" borderId="0" xfId="0" applyFont="1" applyBorder="1" applyProtection="1"/>
    <xf numFmtId="0" fontId="3" fillId="0" borderId="0" xfId="0" applyFont="1" applyFill="1" applyBorder="1" applyAlignment="1" applyProtection="1">
      <alignment wrapText="1"/>
    </xf>
    <xf numFmtId="0" fontId="11" fillId="0" borderId="0" xfId="0" applyFont="1" applyBorder="1" applyProtection="1"/>
    <xf numFmtId="0" fontId="0" fillId="0" borderId="0" xfId="0" applyFont="1" applyAlignment="1" applyProtection="1">
      <alignment wrapText="1"/>
    </xf>
    <xf numFmtId="1" fontId="14" fillId="2" borderId="17" xfId="0" applyNumberFormat="1" applyFont="1" applyFill="1" applyBorder="1" applyAlignment="1" applyProtection="1">
      <alignment horizontal="center"/>
    </xf>
    <xf numFmtId="1" fontId="14" fillId="3" borderId="17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13" fillId="0" borderId="0" xfId="0" applyFont="1" applyProtection="1"/>
    <xf numFmtId="0" fontId="12" fillId="0" borderId="0" xfId="0" applyFont="1" applyProtection="1"/>
    <xf numFmtId="0" fontId="0" fillId="0" borderId="0" xfId="0" applyFont="1" applyProtection="1"/>
    <xf numFmtId="0" fontId="12" fillId="0" borderId="0" xfId="0" applyFont="1" applyAlignment="1" applyProtection="1">
      <alignment horizontal="left"/>
    </xf>
    <xf numFmtId="0" fontId="0" fillId="0" borderId="0" xfId="0" applyFont="1" applyBorder="1" applyAlignment="1" applyProtection="1">
      <alignment horizontal="center" vertical="center"/>
    </xf>
    <xf numFmtId="0" fontId="8" fillId="0" borderId="0" xfId="0" applyFont="1" applyBorder="1" applyProtection="1"/>
    <xf numFmtId="164" fontId="9" fillId="0" borderId="0" xfId="0" applyNumberFormat="1" applyFont="1" applyAlignment="1" applyProtection="1">
      <alignment horizontal="center"/>
    </xf>
    <xf numFmtId="0" fontId="0" fillId="0" borderId="0" xfId="0" applyFont="1" applyFill="1" applyBorder="1" applyProtection="1"/>
    <xf numFmtId="0" fontId="11" fillId="0" borderId="0" xfId="0" applyFont="1" applyProtection="1"/>
    <xf numFmtId="0" fontId="2" fillId="0" borderId="0" xfId="0" applyFont="1" applyAlignment="1" applyProtection="1">
      <alignment horizontal="left"/>
    </xf>
    <xf numFmtId="0" fontId="4" fillId="0" borderId="0" xfId="0" applyFont="1" applyAlignment="1" applyProtection="1">
      <alignment vertical="center" wrapText="1"/>
    </xf>
    <xf numFmtId="0" fontId="34" fillId="0" borderId="0" xfId="0" applyFont="1"/>
    <xf numFmtId="1" fontId="0" fillId="0" borderId="0" xfId="0" applyNumberFormat="1"/>
    <xf numFmtId="0" fontId="0" fillId="0" borderId="18" xfId="0" applyBorder="1" applyAlignment="1" applyProtection="1">
      <alignment horizontal="center"/>
    </xf>
    <xf numFmtId="0" fontId="18" fillId="0" borderId="19" xfId="0" applyFont="1" applyBorder="1" applyAlignment="1" applyProtection="1">
      <alignment vertical="center"/>
    </xf>
    <xf numFmtId="0" fontId="35" fillId="0" borderId="0" xfId="0" applyFont="1" applyProtection="1"/>
    <xf numFmtId="0" fontId="8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right"/>
    </xf>
    <xf numFmtId="0" fontId="18" fillId="0" borderId="0" xfId="0" quotePrefix="1" applyFont="1" applyAlignment="1" applyProtection="1">
      <alignment vertical="center" wrapText="1"/>
    </xf>
    <xf numFmtId="0" fontId="36" fillId="0" borderId="0" xfId="0" quotePrefix="1" applyFont="1" applyBorder="1" applyAlignment="1" applyProtection="1"/>
    <xf numFmtId="0" fontId="0" fillId="0" borderId="18" xfId="0" applyBorder="1"/>
    <xf numFmtId="0" fontId="34" fillId="0" borderId="0" xfId="0" applyFont="1" applyBorder="1"/>
    <xf numFmtId="2" fontId="0" fillId="0" borderId="0" xfId="0" applyNumberFormat="1" applyFont="1" applyProtection="1"/>
    <xf numFmtId="0" fontId="2" fillId="0" borderId="0" xfId="0" applyFont="1" applyAlignment="1" applyProtection="1">
      <alignment wrapText="1"/>
    </xf>
    <xf numFmtId="0" fontId="13" fillId="4" borderId="17" xfId="0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3" fillId="4" borderId="20" xfId="0" applyFont="1" applyFill="1" applyBorder="1" applyAlignment="1" applyProtection="1">
      <alignment horizontal="center"/>
      <protection locked="0"/>
    </xf>
    <xf numFmtId="0" fontId="0" fillId="0" borderId="0" xfId="0" quotePrefix="1" applyBorder="1"/>
    <xf numFmtId="0" fontId="38" fillId="0" borderId="0" xfId="0" applyFont="1" applyBorder="1"/>
    <xf numFmtId="0" fontId="38" fillId="0" borderId="0" xfId="0" applyFont="1" applyBorder="1" applyAlignment="1">
      <alignment horizontal="right"/>
    </xf>
    <xf numFmtId="0" fontId="38" fillId="5" borderId="0" xfId="0" applyFont="1" applyFill="1" applyBorder="1" applyProtection="1"/>
    <xf numFmtId="0" fontId="38" fillId="5" borderId="0" xfId="0" applyFont="1" applyFill="1" applyBorder="1" applyAlignment="1">
      <alignment horizontal="right"/>
    </xf>
    <xf numFmtId="0" fontId="0" fillId="5" borderId="0" xfId="0" applyFill="1" applyBorder="1"/>
    <xf numFmtId="0" fontId="38" fillId="5" borderId="0" xfId="0" applyFont="1" applyFill="1" applyBorder="1" applyAlignment="1" applyProtection="1">
      <alignment horizontal="right"/>
    </xf>
    <xf numFmtId="0" fontId="0" fillId="5" borderId="18" xfId="0" applyFill="1" applyBorder="1"/>
    <xf numFmtId="0" fontId="38" fillId="5" borderId="18" xfId="0" quotePrefix="1" applyFont="1" applyFill="1" applyBorder="1" applyAlignment="1">
      <alignment horizontal="right"/>
    </xf>
    <xf numFmtId="0" fontId="40" fillId="0" borderId="0" xfId="0" applyFont="1" applyProtection="1"/>
    <xf numFmtId="1" fontId="14" fillId="2" borderId="23" xfId="0" applyNumberFormat="1" applyFont="1" applyFill="1" applyBorder="1" applyAlignment="1" applyProtection="1">
      <alignment horizontal="center"/>
    </xf>
    <xf numFmtId="0" fontId="4" fillId="0" borderId="0" xfId="0" quotePrefix="1" applyFont="1" applyAlignment="1" applyProtection="1">
      <alignment horizontal="center" vertical="center" wrapText="1"/>
    </xf>
    <xf numFmtId="1" fontId="9" fillId="6" borderId="12" xfId="0" applyNumberFormat="1" applyFont="1" applyFill="1" applyBorder="1" applyAlignment="1" applyProtection="1">
      <alignment horizontal="center" vertical="center"/>
    </xf>
    <xf numFmtId="0" fontId="41" fillId="6" borderId="12" xfId="0" applyFont="1" applyFill="1" applyBorder="1" applyAlignment="1" applyProtection="1">
      <alignment horizontal="center"/>
    </xf>
    <xf numFmtId="166" fontId="9" fillId="6" borderId="12" xfId="0" applyNumberFormat="1" applyFont="1" applyFill="1" applyBorder="1" applyAlignment="1" applyProtection="1">
      <alignment horizontal="center"/>
    </xf>
    <xf numFmtId="164" fontId="0" fillId="6" borderId="12" xfId="0" applyNumberFormat="1" applyFont="1" applyFill="1" applyBorder="1" applyProtection="1"/>
    <xf numFmtId="0" fontId="0" fillId="6" borderId="12" xfId="0" applyFill="1" applyBorder="1" applyProtection="1"/>
    <xf numFmtId="164" fontId="9" fillId="6" borderId="12" xfId="0" applyNumberFormat="1" applyFont="1" applyFill="1" applyBorder="1" applyAlignment="1" applyProtection="1">
      <alignment horizontal="center"/>
    </xf>
    <xf numFmtId="0" fontId="9" fillId="7" borderId="12" xfId="0" applyFont="1" applyFill="1" applyBorder="1" applyAlignment="1" applyProtection="1">
      <alignment horizontal="center"/>
    </xf>
    <xf numFmtId="0" fontId="0" fillId="7" borderId="12" xfId="0" applyFont="1" applyFill="1" applyBorder="1" applyProtection="1"/>
    <xf numFmtId="0" fontId="0" fillId="7" borderId="12" xfId="0" applyFill="1" applyBorder="1" applyProtection="1"/>
    <xf numFmtId="0" fontId="0" fillId="7" borderId="12" xfId="0" quotePrefix="1" applyFill="1" applyBorder="1" applyProtection="1"/>
    <xf numFmtId="0" fontId="38" fillId="5" borderId="18" xfId="0" quotePrefix="1" applyFont="1" applyFill="1" applyBorder="1" applyAlignment="1" applyProtection="1">
      <alignment horizontal="right"/>
    </xf>
    <xf numFmtId="169" fontId="38" fillId="5" borderId="0" xfId="0" applyNumberFormat="1" applyFont="1" applyFill="1" applyBorder="1" applyAlignment="1">
      <alignment horizontal="center" vertical="center"/>
    </xf>
    <xf numFmtId="169" fontId="39" fillId="8" borderId="17" xfId="0" applyNumberFormat="1" applyFont="1" applyFill="1" applyBorder="1" applyAlignment="1">
      <alignment horizontal="center"/>
    </xf>
    <xf numFmtId="169" fontId="39" fillId="8" borderId="17" xfId="0" applyNumberFormat="1" applyFont="1" applyFill="1" applyBorder="1" applyAlignment="1" applyProtection="1">
      <alignment horizontal="center"/>
    </xf>
    <xf numFmtId="169" fontId="3" fillId="8" borderId="17" xfId="0" applyNumberFormat="1" applyFont="1" applyFill="1" applyBorder="1" applyAlignment="1" applyProtection="1">
      <alignment horizontal="center"/>
    </xf>
    <xf numFmtId="0" fontId="26" fillId="5" borderId="0" xfId="0" quotePrefix="1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Border="1"/>
    <xf numFmtId="0" fontId="0" fillId="10" borderId="0" xfId="0" applyFill="1" applyBorder="1" applyProtection="1"/>
    <xf numFmtId="165" fontId="0" fillId="10" borderId="0" xfId="0" applyNumberFormat="1" applyFill="1" applyBorder="1" applyAlignment="1" applyProtection="1"/>
    <xf numFmtId="0" fontId="0" fillId="10" borderId="0" xfId="0" applyFill="1" applyBorder="1"/>
    <xf numFmtId="0" fontId="34" fillId="10" borderId="0" xfId="0" applyFont="1" applyFill="1" applyBorder="1"/>
    <xf numFmtId="0" fontId="0" fillId="0" borderId="24" xfId="0" applyBorder="1"/>
    <xf numFmtId="0" fontId="2" fillId="10" borderId="0" xfId="0" applyFont="1" applyFill="1" applyBorder="1" applyProtection="1"/>
    <xf numFmtId="0" fontId="38" fillId="10" borderId="0" xfId="0" applyFont="1" applyFill="1" applyBorder="1"/>
    <xf numFmtId="168" fontId="43" fillId="10" borderId="0" xfId="0" applyNumberFormat="1" applyFont="1" applyFill="1" applyBorder="1" applyAlignment="1" applyProtection="1">
      <alignment horizontal="left"/>
    </xf>
    <xf numFmtId="0" fontId="1" fillId="5" borderId="0" xfId="0" applyFont="1" applyFill="1" applyBorder="1" applyProtection="1"/>
    <xf numFmtId="0" fontId="44" fillId="5" borderId="0" xfId="0" applyFont="1" applyFill="1" applyBorder="1" applyAlignment="1">
      <alignment horizontal="center" vertical="center"/>
    </xf>
    <xf numFmtId="0" fontId="0" fillId="5" borderId="0" xfId="0" applyFill="1" applyBorder="1" applyProtection="1"/>
    <xf numFmtId="0" fontId="39" fillId="5" borderId="0" xfId="0" applyFont="1" applyFill="1" applyBorder="1"/>
    <xf numFmtId="0" fontId="0" fillId="5" borderId="0" xfId="0" quotePrefix="1" applyFill="1" applyBorder="1" applyAlignment="1"/>
    <xf numFmtId="0" fontId="0" fillId="0" borderId="18" xfId="0" applyFill="1" applyBorder="1"/>
    <xf numFmtId="0" fontId="0" fillId="0" borderId="18" xfId="0" quotePrefix="1" applyFill="1" applyBorder="1" applyAlignment="1"/>
    <xf numFmtId="0" fontId="26" fillId="0" borderId="18" xfId="0" quotePrefix="1" applyFont="1" applyFill="1" applyBorder="1" applyAlignment="1">
      <alignment horizontal="left" vertical="center"/>
    </xf>
    <xf numFmtId="0" fontId="0" fillId="11" borderId="0" xfId="0" quotePrefix="1" applyFill="1" applyBorder="1" applyAlignment="1"/>
    <xf numFmtId="0" fontId="26" fillId="11" borderId="0" xfId="0" applyFont="1" applyFill="1" applyBorder="1" applyAlignment="1" applyProtection="1">
      <alignment vertical="center"/>
    </xf>
    <xf numFmtId="0" fontId="0" fillId="11" borderId="0" xfId="0" applyFill="1" applyBorder="1"/>
    <xf numFmtId="0" fontId="0" fillId="11" borderId="18" xfId="0" applyFill="1" applyBorder="1"/>
    <xf numFmtId="0" fontId="0" fillId="0" borderId="6" xfId="0" applyBorder="1"/>
    <xf numFmtId="0" fontId="0" fillId="11" borderId="18" xfId="0" quotePrefix="1" applyFill="1" applyBorder="1" applyAlignment="1"/>
    <xf numFmtId="0" fontId="4" fillId="5" borderId="0" xfId="0" applyFont="1" applyFill="1" applyBorder="1" applyAlignment="1" applyProtection="1">
      <alignment horizontal="right"/>
    </xf>
    <xf numFmtId="0" fontId="38" fillId="0" borderId="0" xfId="0" quotePrefix="1" applyFont="1" applyAlignment="1" applyProtection="1">
      <alignment horizontal="left"/>
    </xf>
    <xf numFmtId="0" fontId="3" fillId="7" borderId="13" xfId="0" applyFont="1" applyFill="1" applyBorder="1" applyAlignment="1" applyProtection="1">
      <alignment horizontal="center" vertical="center"/>
    </xf>
    <xf numFmtId="1" fontId="36" fillId="12" borderId="17" xfId="0" quotePrefix="1" applyNumberFormat="1" applyFont="1" applyFill="1" applyBorder="1" applyAlignment="1" applyProtection="1"/>
    <xf numFmtId="164" fontId="19" fillId="6" borderId="17" xfId="0" applyNumberFormat="1" applyFont="1" applyFill="1" applyBorder="1" applyAlignment="1" applyProtection="1">
      <alignment horizontal="center"/>
    </xf>
    <xf numFmtId="164" fontId="39" fillId="6" borderId="17" xfId="0" applyNumberFormat="1" applyFont="1" applyFill="1" applyBorder="1" applyAlignment="1" applyProtection="1">
      <alignment horizontal="center"/>
    </xf>
    <xf numFmtId="164" fontId="45" fillId="6" borderId="17" xfId="0" quotePrefix="1" applyNumberFormat="1" applyFont="1" applyFill="1" applyBorder="1" applyAlignment="1" applyProtection="1">
      <alignment horizontal="center"/>
    </xf>
    <xf numFmtId="0" fontId="38" fillId="11" borderId="0" xfId="0" applyFont="1" applyFill="1" applyBorder="1"/>
    <xf numFmtId="0" fontId="40" fillId="0" borderId="0" xfId="0" applyFont="1"/>
    <xf numFmtId="0" fontId="34" fillId="0" borderId="0" xfId="0" quotePrefix="1" applyFont="1"/>
    <xf numFmtId="0" fontId="34" fillId="8" borderId="12" xfId="0" applyFont="1" applyFill="1" applyBorder="1" applyAlignment="1">
      <alignment horizontal="center"/>
    </xf>
    <xf numFmtId="0" fontId="34" fillId="0" borderId="22" xfId="0" applyFont="1" applyBorder="1"/>
    <xf numFmtId="0" fontId="34" fillId="0" borderId="0" xfId="0" applyFont="1" applyFill="1" applyBorder="1"/>
    <xf numFmtId="0" fontId="39" fillId="9" borderId="17" xfId="0" applyFont="1" applyFill="1" applyBorder="1" applyAlignment="1">
      <alignment horizontal="center"/>
    </xf>
    <xf numFmtId="0" fontId="39" fillId="0" borderId="0" xfId="0" applyFont="1"/>
    <xf numFmtId="164" fontId="39" fillId="9" borderId="17" xfId="0" applyNumberFormat="1" applyFont="1" applyFill="1" applyBorder="1" applyAlignment="1">
      <alignment horizontal="center"/>
    </xf>
    <xf numFmtId="0" fontId="39" fillId="0" borderId="0" xfId="0" applyFont="1" applyFill="1" applyBorder="1"/>
    <xf numFmtId="0" fontId="34" fillId="0" borderId="0" xfId="0" applyFont="1" applyAlignment="1"/>
    <xf numFmtId="0" fontId="40" fillId="0" borderId="26" xfId="0" applyFont="1" applyBorder="1" applyAlignment="1"/>
    <xf numFmtId="0" fontId="34" fillId="0" borderId="0" xfId="0" applyFont="1" applyAlignment="1">
      <alignment horizontal="right"/>
    </xf>
    <xf numFmtId="0" fontId="38" fillId="5" borderId="0" xfId="0" applyFont="1" applyFill="1" applyBorder="1"/>
    <xf numFmtId="164" fontId="31" fillId="8" borderId="12" xfId="0" applyNumberFormat="1" applyFont="1" applyFill="1" applyBorder="1" applyAlignment="1" applyProtection="1">
      <alignment horizontal="center"/>
    </xf>
    <xf numFmtId="0" fontId="40" fillId="5" borderId="18" xfId="0" applyFont="1" applyFill="1" applyBorder="1" applyAlignment="1">
      <alignment horizontal="right"/>
    </xf>
    <xf numFmtId="0" fontId="39" fillId="5" borderId="0" xfId="0" applyFont="1" applyFill="1" applyBorder="1" applyProtection="1"/>
    <xf numFmtId="164" fontId="0" fillId="0" borderId="0" xfId="0" applyNumberFormat="1" applyBorder="1" applyAlignment="1">
      <alignment horizontal="center"/>
    </xf>
    <xf numFmtId="1" fontId="34" fillId="8" borderId="12" xfId="0" applyNumberFormat="1" applyFont="1" applyFill="1" applyBorder="1" applyAlignment="1">
      <alignment horizontal="center"/>
    </xf>
    <xf numFmtId="1" fontId="34" fillId="8" borderId="28" xfId="0" applyNumberFormat="1" applyFont="1" applyFill="1" applyBorder="1" applyAlignment="1">
      <alignment horizontal="center"/>
    </xf>
    <xf numFmtId="0" fontId="0" fillId="5" borderId="29" xfId="0" applyFill="1" applyBorder="1" applyProtection="1"/>
    <xf numFmtId="0" fontId="0" fillId="5" borderId="30" xfId="0" applyFill="1" applyBorder="1" applyProtection="1"/>
    <xf numFmtId="0" fontId="0" fillId="5" borderId="0" xfId="0" applyFill="1" applyBorder="1" applyAlignment="1" applyProtection="1">
      <alignment horizontal="center"/>
    </xf>
    <xf numFmtId="0" fontId="0" fillId="5" borderId="31" xfId="0" applyFill="1" applyBorder="1" applyProtection="1"/>
    <xf numFmtId="0" fontId="38" fillId="5" borderId="0" xfId="0" applyFont="1" applyFill="1" applyBorder="1" applyAlignment="1" applyProtection="1"/>
    <xf numFmtId="0" fontId="38" fillId="5" borderId="31" xfId="0" applyFont="1" applyFill="1" applyBorder="1" applyProtection="1"/>
    <xf numFmtId="165" fontId="13" fillId="4" borderId="17" xfId="0" applyNumberFormat="1" applyFont="1" applyFill="1" applyBorder="1" applyAlignment="1" applyProtection="1">
      <alignment horizontal="center"/>
      <protection locked="0"/>
    </xf>
    <xf numFmtId="169" fontId="3" fillId="10" borderId="32" xfId="0" applyNumberFormat="1" applyFont="1" applyFill="1" applyBorder="1" applyAlignment="1" applyProtection="1">
      <alignment horizontal="center"/>
    </xf>
    <xf numFmtId="169" fontId="39" fillId="10" borderId="0" xfId="0" applyNumberFormat="1" applyFont="1" applyFill="1" applyBorder="1" applyAlignment="1" applyProtection="1">
      <alignment horizontal="center"/>
    </xf>
    <xf numFmtId="0" fontId="47" fillId="0" borderId="0" xfId="0" applyFont="1" applyProtection="1"/>
    <xf numFmtId="0" fontId="17" fillId="14" borderId="17" xfId="0" applyFont="1" applyFill="1" applyBorder="1" applyAlignment="1" applyProtection="1">
      <alignment horizontal="center"/>
      <protection locked="0"/>
    </xf>
    <xf numFmtId="1" fontId="17" fillId="8" borderId="17" xfId="0" applyNumberFormat="1" applyFont="1" applyFill="1" applyBorder="1" applyAlignment="1" applyProtection="1">
      <alignment horizontal="center"/>
    </xf>
    <xf numFmtId="1" fontId="17" fillId="13" borderId="0" xfId="0" applyNumberFormat="1" applyFont="1" applyFill="1" applyBorder="1" applyAlignment="1" applyProtection="1"/>
    <xf numFmtId="0" fontId="0" fillId="0" borderId="32" xfId="0" applyBorder="1"/>
    <xf numFmtId="0" fontId="0" fillId="0" borderId="6" xfId="0" applyFill="1" applyBorder="1"/>
    <xf numFmtId="169" fontId="39" fillId="10" borderId="0" xfId="0" applyNumberFormat="1" applyFont="1" applyFill="1" applyBorder="1" applyAlignment="1" applyProtection="1">
      <alignment horizontal="center" vertical="center"/>
    </xf>
    <xf numFmtId="0" fontId="0" fillId="10" borderId="0" xfId="0" applyFill="1" applyBorder="1" applyAlignment="1" applyProtection="1">
      <alignment vertical="center"/>
    </xf>
    <xf numFmtId="0" fontId="4" fillId="10" borderId="0" xfId="0" applyFont="1" applyFill="1" applyBorder="1" applyAlignment="1" applyProtection="1">
      <alignment horizontal="right" vertical="center"/>
    </xf>
    <xf numFmtId="165" fontId="0" fillId="10" borderId="0" xfId="0" applyNumberFormat="1" applyFill="1" applyBorder="1" applyAlignment="1" applyProtection="1">
      <alignment vertical="center"/>
    </xf>
    <xf numFmtId="0" fontId="38" fillId="10" borderId="0" xfId="0" applyFont="1" applyFill="1" applyBorder="1" applyAlignment="1" applyProtection="1">
      <alignment horizontal="left" vertical="center"/>
    </xf>
    <xf numFmtId="0" fontId="4" fillId="10" borderId="0" xfId="0" applyFont="1" applyFill="1" applyBorder="1" applyAlignment="1" applyProtection="1">
      <alignment horizontal="left" vertical="center"/>
    </xf>
    <xf numFmtId="0" fontId="2" fillId="10" borderId="0" xfId="0" applyFont="1" applyFill="1" applyBorder="1" applyAlignment="1" applyProtection="1">
      <alignment vertical="center"/>
    </xf>
    <xf numFmtId="0" fontId="40" fillId="10" borderId="0" xfId="0" applyFont="1" applyFill="1" applyBorder="1" applyAlignment="1" applyProtection="1">
      <alignment horizontal="center" vertical="center"/>
    </xf>
    <xf numFmtId="0" fontId="38" fillId="10" borderId="31" xfId="0" applyFont="1" applyFill="1" applyBorder="1" applyAlignment="1" applyProtection="1">
      <alignment horizontal="right" vertical="center"/>
    </xf>
    <xf numFmtId="0" fontId="4" fillId="10" borderId="31" xfId="0" applyFont="1" applyFill="1" applyBorder="1" applyAlignment="1" applyProtection="1">
      <alignment horizontal="right" vertical="center"/>
    </xf>
    <xf numFmtId="0" fontId="49" fillId="1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38" fillId="10" borderId="0" xfId="0" applyFont="1" applyFill="1" applyBorder="1" applyAlignment="1" applyProtection="1">
      <alignment horizontal="right" vertical="center"/>
    </xf>
    <xf numFmtId="0" fontId="50" fillId="0" borderId="0" xfId="0" applyFont="1" applyAlignment="1">
      <alignment horizontal="left" vertical="center"/>
    </xf>
    <xf numFmtId="0" fontId="13" fillId="0" borderId="18" xfId="0" applyFont="1" applyFill="1" applyBorder="1" applyAlignment="1" applyProtection="1">
      <alignment vertical="center"/>
    </xf>
    <xf numFmtId="0" fontId="37" fillId="0" borderId="18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10" borderId="24" xfId="0" applyFill="1" applyBorder="1" applyAlignment="1" applyProtection="1">
      <alignment vertical="center"/>
    </xf>
    <xf numFmtId="0" fontId="34" fillId="10" borderId="24" xfId="0" applyFont="1" applyFill="1" applyBorder="1" applyAlignment="1" applyProtection="1">
      <alignment vertical="center"/>
    </xf>
    <xf numFmtId="0" fontId="51" fillId="10" borderId="24" xfId="0" applyFont="1" applyFill="1" applyBorder="1" applyAlignment="1" applyProtection="1">
      <alignment horizontal="center" vertical="center"/>
    </xf>
    <xf numFmtId="0" fontId="38" fillId="10" borderId="0" xfId="0" applyFont="1" applyFill="1" applyBorder="1" applyAlignment="1" applyProtection="1">
      <alignment vertical="center"/>
    </xf>
    <xf numFmtId="0" fontId="38" fillId="10" borderId="0" xfId="0" applyFont="1" applyFill="1" applyBorder="1" applyAlignment="1" applyProtection="1">
      <alignment horizontal="center" vertical="center"/>
    </xf>
    <xf numFmtId="170" fontId="3" fillId="14" borderId="17" xfId="0" applyNumberFormat="1" applyFont="1" applyFill="1" applyBorder="1" applyAlignment="1" applyProtection="1">
      <alignment horizontal="center" vertical="center"/>
      <protection locked="0"/>
    </xf>
    <xf numFmtId="0" fontId="35" fillId="10" borderId="0" xfId="0" applyFont="1" applyFill="1" applyBorder="1" applyAlignment="1" applyProtection="1">
      <alignment horizontal="right" vertical="center"/>
    </xf>
    <xf numFmtId="0" fontId="47" fillId="10" borderId="0" xfId="0" applyFont="1" applyFill="1" applyBorder="1" applyAlignment="1" applyProtection="1">
      <alignment vertical="center"/>
    </xf>
    <xf numFmtId="0" fontId="39" fillId="10" borderId="0" xfId="0" applyFont="1" applyFill="1" applyBorder="1" applyAlignment="1" applyProtection="1">
      <alignment horizontal="left" vertical="center"/>
    </xf>
    <xf numFmtId="0" fontId="39" fillId="10" borderId="0" xfId="0" applyFont="1" applyFill="1" applyBorder="1" applyAlignment="1" applyProtection="1">
      <alignment vertical="center"/>
    </xf>
    <xf numFmtId="0" fontId="34" fillId="10" borderId="0" xfId="0" applyFont="1" applyFill="1" applyBorder="1" applyAlignment="1" applyProtection="1">
      <alignment vertical="center"/>
    </xf>
    <xf numFmtId="169" fontId="0" fillId="10" borderId="0" xfId="0" applyNumberFormat="1" applyFill="1" applyBorder="1" applyAlignment="1" applyProtection="1">
      <alignment vertical="center"/>
    </xf>
    <xf numFmtId="167" fontId="53" fillId="10" borderId="0" xfId="0" applyNumberFormat="1" applyFont="1" applyFill="1" applyBorder="1" applyAlignment="1" applyProtection="1">
      <alignment horizontal="left" vertical="center"/>
    </xf>
    <xf numFmtId="0" fontId="0" fillId="10" borderId="18" xfId="0" applyFill="1" applyBorder="1" applyAlignment="1" applyProtection="1">
      <alignment vertical="center"/>
    </xf>
    <xf numFmtId="0" fontId="13" fillId="0" borderId="0" xfId="0" applyFont="1" applyFill="1" applyAlignment="1" applyProtection="1">
      <alignment vertical="center" wrapText="1"/>
    </xf>
    <xf numFmtId="0" fontId="38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right"/>
    </xf>
    <xf numFmtId="0" fontId="13" fillId="0" borderId="0" xfId="0" applyFont="1" applyFill="1" applyBorder="1" applyAlignment="1" applyProtection="1">
      <alignment wrapText="1"/>
    </xf>
    <xf numFmtId="0" fontId="13" fillId="11" borderId="0" xfId="0" applyFont="1" applyFill="1" applyBorder="1" applyAlignment="1" applyProtection="1">
      <alignment horizontal="center"/>
    </xf>
    <xf numFmtId="0" fontId="13" fillId="11" borderId="32" xfId="0" applyFont="1" applyFill="1" applyBorder="1" applyAlignment="1" applyProtection="1">
      <alignment horizontal="center"/>
    </xf>
    <xf numFmtId="0" fontId="13" fillId="11" borderId="18" xfId="0" applyFont="1" applyFill="1" applyBorder="1" applyAlignment="1" applyProtection="1">
      <alignment horizontal="center"/>
    </xf>
    <xf numFmtId="0" fontId="19" fillId="5" borderId="0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9" fillId="4" borderId="17" xfId="0" applyFont="1" applyFill="1" applyBorder="1" applyAlignment="1" applyProtection="1">
      <alignment horizontal="center"/>
      <protection locked="0"/>
    </xf>
    <xf numFmtId="0" fontId="40" fillId="5" borderId="0" xfId="0" applyFont="1" applyFill="1" applyBorder="1"/>
    <xf numFmtId="0" fontId="54" fillId="5" borderId="0" xfId="0" applyFont="1" applyFill="1" applyBorder="1"/>
    <xf numFmtId="0" fontId="55" fillId="5" borderId="0" xfId="0" applyFont="1" applyFill="1" applyBorder="1" applyAlignment="1" applyProtection="1">
      <alignment horizontal="center"/>
    </xf>
    <xf numFmtId="0" fontId="57" fillId="5" borderId="0" xfId="0" applyFont="1" applyFill="1" applyBorder="1" applyProtection="1"/>
    <xf numFmtId="0" fontId="56" fillId="5" borderId="0" xfId="0" applyFont="1" applyFill="1" applyBorder="1" applyAlignment="1" applyProtection="1">
      <alignment horizontal="center"/>
    </xf>
    <xf numFmtId="0" fontId="58" fillId="0" borderId="0" xfId="0" applyFont="1" applyBorder="1" applyAlignment="1" applyProtection="1">
      <alignment horizontal="center" vertical="center" wrapText="1"/>
    </xf>
    <xf numFmtId="0" fontId="39" fillId="0" borderId="0" xfId="0" quotePrefix="1" applyFont="1"/>
    <xf numFmtId="0" fontId="35" fillId="0" borderId="0" xfId="0" applyFont="1"/>
    <xf numFmtId="0" fontId="0" fillId="0" borderId="17" xfId="0" applyBorder="1" applyProtection="1">
      <protection locked="0"/>
    </xf>
    <xf numFmtId="0" fontId="38" fillId="5" borderId="0" xfId="0" applyFont="1" applyFill="1" applyBorder="1" applyAlignment="1" applyProtection="1">
      <alignment horizontal="left"/>
    </xf>
    <xf numFmtId="0" fontId="0" fillId="5" borderId="26" xfId="0" applyFill="1" applyBorder="1" applyProtection="1"/>
    <xf numFmtId="0" fontId="0" fillId="5" borderId="33" xfId="0" applyFill="1" applyBorder="1" applyProtection="1"/>
    <xf numFmtId="0" fontId="38" fillId="5" borderId="18" xfId="0" applyFont="1" applyFill="1" applyBorder="1" applyAlignment="1" applyProtection="1">
      <alignment horizontal="right"/>
    </xf>
    <xf numFmtId="0" fontId="38" fillId="5" borderId="6" xfId="0" applyFont="1" applyFill="1" applyBorder="1" applyProtection="1"/>
    <xf numFmtId="0" fontId="0" fillId="5" borderId="34" xfId="0" applyFill="1" applyBorder="1" applyProtection="1"/>
    <xf numFmtId="0" fontId="0" fillId="5" borderId="34" xfId="0" applyFill="1" applyBorder="1" applyAlignment="1" applyProtection="1">
      <alignment vertical="center"/>
    </xf>
    <xf numFmtId="0" fontId="38" fillId="5" borderId="18" xfId="0" applyFont="1" applyFill="1" applyBorder="1" applyProtection="1"/>
    <xf numFmtId="0" fontId="17" fillId="15" borderId="12" xfId="0" applyFont="1" applyFill="1" applyBorder="1" applyAlignment="1" applyProtection="1">
      <alignment horizontal="center"/>
    </xf>
    <xf numFmtId="0" fontId="38" fillId="5" borderId="34" xfId="0" quotePrefix="1" applyFont="1" applyFill="1" applyBorder="1" applyProtection="1"/>
    <xf numFmtId="0" fontId="3" fillId="5" borderId="34" xfId="0" applyFont="1" applyFill="1" applyBorder="1" applyAlignment="1" applyProtection="1"/>
    <xf numFmtId="0" fontId="13" fillId="16" borderId="0" xfId="0" applyFont="1" applyFill="1" applyBorder="1" applyAlignment="1" applyProtection="1">
      <alignment horizontal="center"/>
    </xf>
    <xf numFmtId="169" fontId="39" fillId="9" borderId="17" xfId="0" applyNumberFormat="1" applyFont="1" applyFill="1" applyBorder="1" applyAlignment="1" applyProtection="1">
      <alignment horizontal="center"/>
    </xf>
    <xf numFmtId="0" fontId="56" fillId="5" borderId="0" xfId="0" applyFont="1" applyFill="1" applyBorder="1" applyAlignment="1" applyProtection="1">
      <alignment horizontal="center"/>
      <protection locked="0"/>
    </xf>
    <xf numFmtId="0" fontId="56" fillId="5" borderId="18" xfId="0" applyFont="1" applyFill="1" applyBorder="1" applyAlignment="1" applyProtection="1">
      <alignment horizontal="center"/>
      <protection locked="0"/>
    </xf>
    <xf numFmtId="0" fontId="38" fillId="5" borderId="3" xfId="0" applyFont="1" applyFill="1" applyBorder="1" applyAlignment="1" applyProtection="1">
      <alignment horizontal="center"/>
    </xf>
    <xf numFmtId="0" fontId="13" fillId="14" borderId="12" xfId="0" applyFont="1" applyFill="1" applyBorder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/>
    </xf>
    <xf numFmtId="1" fontId="54" fillId="5" borderId="34" xfId="0" quotePrefix="1" applyNumberFormat="1" applyFont="1" applyFill="1" applyBorder="1" applyProtection="1">
      <protection locked="0"/>
    </xf>
    <xf numFmtId="0" fontId="3" fillId="5" borderId="34" xfId="0" applyFont="1" applyFill="1" applyBorder="1" applyAlignment="1" applyProtection="1">
      <alignment horizontal="center"/>
    </xf>
    <xf numFmtId="0" fontId="38" fillId="5" borderId="36" xfId="0" applyFont="1" applyFill="1" applyBorder="1" applyAlignment="1" applyProtection="1">
      <alignment horizontal="right"/>
    </xf>
    <xf numFmtId="0" fontId="38" fillId="16" borderId="36" xfId="0" applyFont="1" applyFill="1" applyBorder="1" applyAlignment="1" applyProtection="1">
      <alignment horizontal="right"/>
    </xf>
    <xf numFmtId="0" fontId="38" fillId="5" borderId="36" xfId="0" applyFont="1" applyFill="1" applyBorder="1" applyProtection="1"/>
    <xf numFmtId="0" fontId="56" fillId="5" borderId="36" xfId="0" applyFont="1" applyFill="1" applyBorder="1" applyAlignment="1" applyProtection="1">
      <alignment horizontal="center"/>
    </xf>
    <xf numFmtId="0" fontId="38" fillId="5" borderId="36" xfId="0" applyFont="1" applyFill="1" applyBorder="1" applyAlignment="1" applyProtection="1"/>
    <xf numFmtId="0" fontId="38" fillId="16" borderId="36" xfId="0" applyFont="1" applyFill="1" applyBorder="1" applyProtection="1"/>
    <xf numFmtId="0" fontId="56" fillId="16" borderId="36" xfId="0" applyFont="1" applyFill="1" applyBorder="1" applyAlignment="1" applyProtection="1">
      <alignment horizontal="center"/>
    </xf>
    <xf numFmtId="0" fontId="38" fillId="16" borderId="36" xfId="0" applyFont="1" applyFill="1" applyBorder="1" applyAlignment="1" applyProtection="1"/>
    <xf numFmtId="0" fontId="17" fillId="16" borderId="36" xfId="0" applyFont="1" applyFill="1" applyBorder="1" applyAlignment="1" applyProtection="1">
      <alignment horizontal="center"/>
    </xf>
    <xf numFmtId="0" fontId="34" fillId="16" borderId="36" xfId="0" applyFont="1" applyFill="1" applyBorder="1" applyProtection="1"/>
    <xf numFmtId="0" fontId="34" fillId="16" borderId="15" xfId="0" applyFont="1" applyFill="1" applyBorder="1" applyProtection="1"/>
    <xf numFmtId="0" fontId="38" fillId="5" borderId="34" xfId="0" applyFont="1" applyFill="1" applyBorder="1" applyAlignment="1" applyProtection="1">
      <alignment horizontal="center"/>
    </xf>
    <xf numFmtId="0" fontId="39" fillId="5" borderId="18" xfId="0" applyFont="1" applyFill="1" applyBorder="1" applyProtection="1"/>
    <xf numFmtId="0" fontId="0" fillId="17" borderId="0" xfId="0" applyFill="1" applyBorder="1" applyProtection="1"/>
    <xf numFmtId="0" fontId="0" fillId="5" borderId="38" xfId="0" applyFill="1" applyBorder="1" applyProtection="1"/>
    <xf numFmtId="0" fontId="38" fillId="5" borderId="32" xfId="0" applyFont="1" applyFill="1" applyBorder="1" applyAlignment="1" applyProtection="1">
      <alignment horizontal="center"/>
    </xf>
    <xf numFmtId="0" fontId="0" fillId="5" borderId="10" xfId="0" applyFill="1" applyBorder="1" applyProtection="1"/>
    <xf numFmtId="0" fontId="38" fillId="5" borderId="10" xfId="0" applyFont="1" applyFill="1" applyBorder="1" applyAlignment="1" applyProtection="1">
      <alignment horizontal="center"/>
    </xf>
    <xf numFmtId="0" fontId="0" fillId="16" borderId="3" xfId="0" applyFill="1" applyBorder="1" applyProtection="1"/>
    <xf numFmtId="0" fontId="38" fillId="5" borderId="36" xfId="0" quotePrefix="1" applyFont="1" applyFill="1" applyBorder="1" applyProtection="1"/>
    <xf numFmtId="0" fontId="34" fillId="15" borderId="12" xfId="0" applyFont="1" applyFill="1" applyBorder="1" applyAlignment="1" applyProtection="1">
      <alignment horizontal="center"/>
    </xf>
    <xf numFmtId="0" fontId="41" fillId="12" borderId="12" xfId="0" applyFont="1" applyFill="1" applyBorder="1" applyAlignment="1" applyProtection="1">
      <alignment horizontal="center"/>
    </xf>
    <xf numFmtId="0" fontId="41" fillId="9" borderId="12" xfId="0" applyFont="1" applyFill="1" applyBorder="1" applyAlignment="1" applyProtection="1">
      <alignment horizontal="center"/>
    </xf>
    <xf numFmtId="0" fontId="56" fillId="17" borderId="0" xfId="0" applyFont="1" applyFill="1" applyBorder="1" applyAlignment="1" applyProtection="1">
      <alignment horizontal="center"/>
    </xf>
    <xf numFmtId="0" fontId="38" fillId="17" borderId="0" xfId="0" applyFont="1" applyFill="1" applyBorder="1" applyProtection="1"/>
    <xf numFmtId="0" fontId="0" fillId="17" borderId="32" xfId="0" applyFill="1" applyBorder="1" applyProtection="1"/>
    <xf numFmtId="0" fontId="38" fillId="17" borderId="0" xfId="0" applyFont="1" applyFill="1" applyBorder="1" applyAlignment="1" applyProtection="1">
      <alignment horizontal="center"/>
    </xf>
    <xf numFmtId="0" fontId="38" fillId="17" borderId="18" xfId="0" applyFont="1" applyFill="1" applyBorder="1" applyProtection="1"/>
    <xf numFmtId="0" fontId="38" fillId="17" borderId="18" xfId="0" applyFont="1" applyFill="1" applyBorder="1" applyAlignment="1" applyProtection="1">
      <alignment horizontal="right"/>
    </xf>
    <xf numFmtId="0" fontId="38" fillId="17" borderId="18" xfId="0" applyFont="1" applyFill="1" applyBorder="1" applyAlignment="1" applyProtection="1"/>
    <xf numFmtId="0" fontId="38" fillId="17" borderId="0" xfId="0" applyFont="1" applyFill="1" applyBorder="1" applyAlignment="1" applyProtection="1">
      <alignment horizontal="right"/>
    </xf>
    <xf numFmtId="0" fontId="38" fillId="17" borderId="6" xfId="0" applyFont="1" applyFill="1" applyBorder="1" applyProtection="1"/>
    <xf numFmtId="0" fontId="59" fillId="17" borderId="0" xfId="0" applyFont="1" applyFill="1" applyBorder="1" applyAlignment="1" applyProtection="1">
      <alignment horizontal="center"/>
      <protection locked="0"/>
    </xf>
    <xf numFmtId="0" fontId="59" fillId="17" borderId="8" xfId="0" applyFont="1" applyFill="1" applyBorder="1" applyAlignment="1" applyProtection="1">
      <alignment horizontal="center"/>
      <protection locked="0"/>
    </xf>
    <xf numFmtId="0" fontId="59" fillId="17" borderId="18" xfId="0" applyFont="1" applyFill="1" applyBorder="1" applyAlignment="1" applyProtection="1">
      <alignment horizontal="center"/>
      <protection locked="0"/>
    </xf>
    <xf numFmtId="0" fontId="56" fillId="0" borderId="36" xfId="0" applyFont="1" applyFill="1" applyBorder="1" applyAlignment="1" applyProtection="1">
      <alignment horizontal="center"/>
      <protection locked="0"/>
    </xf>
    <xf numFmtId="0" fontId="0" fillId="5" borderId="0" xfId="0" applyFont="1" applyFill="1" applyBorder="1" applyProtection="1"/>
    <xf numFmtId="0" fontId="0" fillId="5" borderId="8" xfId="0" applyFont="1" applyFill="1" applyBorder="1" applyProtection="1"/>
    <xf numFmtId="0" fontId="57" fillId="5" borderId="34" xfId="0" quotePrefix="1" applyFont="1" applyFill="1" applyBorder="1" applyProtection="1"/>
    <xf numFmtId="0" fontId="26" fillId="5" borderId="0" xfId="0" quotePrefix="1" applyFont="1" applyFill="1" applyBorder="1" applyAlignment="1" applyProtection="1">
      <alignment horizontal="left"/>
    </xf>
    <xf numFmtId="165" fontId="41" fillId="10" borderId="0" xfId="0" applyNumberFormat="1" applyFont="1" applyFill="1" applyBorder="1" applyAlignment="1">
      <alignment horizontal="center"/>
    </xf>
    <xf numFmtId="0" fontId="38" fillId="10" borderId="0" xfId="0" quotePrefix="1" applyFont="1" applyFill="1" applyBorder="1" applyAlignment="1">
      <alignment horizontal="right"/>
    </xf>
    <xf numFmtId="0" fontId="0" fillId="0" borderId="0" xfId="0" quotePrefix="1"/>
    <xf numFmtId="0" fontId="54" fillId="10" borderId="18" xfId="0" quotePrefix="1" applyFont="1" applyFill="1" applyBorder="1" applyAlignment="1">
      <alignment horizontal="left"/>
    </xf>
    <xf numFmtId="0" fontId="4" fillId="10" borderId="0" xfId="0" applyFont="1" applyFill="1" applyBorder="1" applyAlignment="1" applyProtection="1"/>
    <xf numFmtId="0" fontId="4" fillId="10" borderId="18" xfId="0" applyFont="1" applyFill="1" applyBorder="1" applyAlignment="1" applyProtection="1"/>
    <xf numFmtId="0" fontId="61" fillId="10" borderId="0" xfId="0" applyFont="1" applyFill="1" applyBorder="1" applyAlignment="1" applyProtection="1"/>
    <xf numFmtId="169" fontId="39" fillId="15" borderId="28" xfId="0" applyNumberFormat="1" applyFont="1" applyFill="1" applyBorder="1" applyAlignment="1">
      <alignment horizontal="center" vertical="center"/>
    </xf>
    <xf numFmtId="0" fontId="38" fillId="10" borderId="0" xfId="0" quotePrefix="1" applyFont="1" applyFill="1" applyBorder="1" applyAlignment="1" applyProtection="1">
      <alignment horizontal="center" vertical="center"/>
    </xf>
    <xf numFmtId="1" fontId="62" fillId="10" borderId="18" xfId="0" applyNumberFormat="1" applyFont="1" applyFill="1" applyBorder="1" applyAlignment="1" applyProtection="1">
      <alignment horizontal="center" vertical="center"/>
    </xf>
    <xf numFmtId="0" fontId="63" fillId="10" borderId="0" xfId="0" applyFont="1" applyFill="1" applyBorder="1" applyAlignment="1" applyProtection="1">
      <alignment horizontal="right" vertical="center"/>
    </xf>
    <xf numFmtId="169" fontId="48" fillId="10" borderId="0" xfId="0" applyNumberFormat="1" applyFont="1" applyFill="1" applyBorder="1" applyAlignment="1">
      <alignment horizontal="center"/>
    </xf>
    <xf numFmtId="0" fontId="38" fillId="0" borderId="0" xfId="0" quotePrefix="1" applyFont="1" applyAlignment="1" applyProtection="1">
      <alignment horizontal="center"/>
    </xf>
    <xf numFmtId="0" fontId="0" fillId="0" borderId="36" xfId="0" quotePrefix="1" applyBorder="1" applyProtection="1"/>
    <xf numFmtId="0" fontId="0" fillId="0" borderId="15" xfId="0" applyBorder="1" applyProtection="1"/>
    <xf numFmtId="0" fontId="26" fillId="0" borderId="18" xfId="0" quotePrefix="1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0" fillId="5" borderId="31" xfId="0" applyFill="1" applyBorder="1" applyAlignment="1" applyProtection="1"/>
    <xf numFmtId="0" fontId="40" fillId="18" borderId="0" xfId="0" applyFont="1" applyFill="1" applyBorder="1" applyAlignment="1" applyProtection="1">
      <alignment horizontal="center"/>
    </xf>
    <xf numFmtId="0" fontId="71" fillId="18" borderId="0" xfId="0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73" fillId="10" borderId="0" xfId="0" applyFont="1" applyFill="1" applyBorder="1" applyAlignment="1" applyProtection="1">
      <alignment vertical="center"/>
    </xf>
    <xf numFmtId="1" fontId="74" fillId="10" borderId="32" xfId="0" applyNumberFormat="1" applyFont="1" applyFill="1" applyBorder="1" applyAlignment="1" applyProtection="1">
      <alignment horizontal="center" vertical="center"/>
    </xf>
    <xf numFmtId="1" fontId="73" fillId="1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" fontId="75" fillId="5" borderId="0" xfId="0" applyNumberFormat="1" applyFont="1" applyFill="1" applyBorder="1" applyProtection="1"/>
    <xf numFmtId="0" fontId="38" fillId="19" borderId="18" xfId="0" applyFont="1" applyFill="1" applyBorder="1" applyProtection="1"/>
    <xf numFmtId="0" fontId="76" fillId="17" borderId="18" xfId="0" applyFont="1" applyFill="1" applyBorder="1" applyAlignment="1" applyProtection="1">
      <alignment horizontal="center"/>
      <protection locked="0"/>
    </xf>
    <xf numFmtId="0" fontId="4" fillId="10" borderId="0" xfId="0" applyFont="1" applyFill="1" applyBorder="1" applyAlignment="1" applyProtection="1">
      <alignment horizontal="center" vertical="top"/>
    </xf>
    <xf numFmtId="169" fontId="3" fillId="10" borderId="0" xfId="0" applyNumberFormat="1" applyFont="1" applyFill="1" applyBorder="1" applyAlignment="1" applyProtection="1">
      <alignment horizontal="center" wrapText="1"/>
    </xf>
    <xf numFmtId="0" fontId="4" fillId="10" borderId="0" xfId="0" applyFont="1" applyFill="1" applyBorder="1" applyAlignment="1" applyProtection="1">
      <alignment vertical="center"/>
    </xf>
    <xf numFmtId="0" fontId="2" fillId="5" borderId="0" xfId="0" applyFont="1" applyFill="1" applyBorder="1" applyAlignment="1" applyProtection="1">
      <alignment horizontal="center"/>
    </xf>
    <xf numFmtId="0" fontId="38" fillId="5" borderId="0" xfId="0" applyFont="1" applyFill="1" applyBorder="1" applyAlignment="1" applyProtection="1">
      <alignment horizontal="left" wrapText="1"/>
    </xf>
    <xf numFmtId="0" fontId="0" fillId="6" borderId="12" xfId="0" applyFill="1" applyBorder="1" applyAlignment="1" applyProtection="1">
      <alignment horizontal="center"/>
    </xf>
    <xf numFmtId="0" fontId="79" fillId="10" borderId="0" xfId="0" quotePrefix="1" applyFont="1" applyFill="1" applyBorder="1" applyAlignment="1" applyProtection="1">
      <alignment horizontal="left" vertical="center"/>
    </xf>
    <xf numFmtId="0" fontId="56" fillId="0" borderId="36" xfId="0" applyFont="1" applyFill="1" applyBorder="1" applyAlignment="1" applyProtection="1">
      <alignment horizontal="center"/>
    </xf>
    <xf numFmtId="0" fontId="56" fillId="5" borderId="18" xfId="0" applyFont="1" applyFill="1" applyBorder="1" applyAlignment="1" applyProtection="1">
      <alignment horizontal="center"/>
    </xf>
    <xf numFmtId="0" fontId="56" fillId="5" borderId="8" xfId="0" applyFont="1" applyFill="1" applyBorder="1" applyAlignment="1" applyProtection="1">
      <alignment horizontal="center"/>
    </xf>
    <xf numFmtId="1" fontId="36" fillId="12" borderId="39" xfId="0" quotePrefix="1" applyNumberFormat="1" applyFont="1" applyFill="1" applyBorder="1" applyAlignment="1" applyProtection="1"/>
    <xf numFmtId="1" fontId="36" fillId="0" borderId="21" xfId="0" quotePrefix="1" applyNumberFormat="1" applyFont="1" applyFill="1" applyBorder="1" applyAlignment="1" applyProtection="1"/>
    <xf numFmtId="0" fontId="0" fillId="21" borderId="0" xfId="0" applyFill="1" applyBorder="1"/>
    <xf numFmtId="0" fontId="0" fillId="21" borderId="0" xfId="0" applyFill="1" applyBorder="1" applyProtection="1"/>
    <xf numFmtId="0" fontId="0" fillId="21" borderId="18" xfId="0" applyFill="1" applyBorder="1"/>
    <xf numFmtId="0" fontId="0" fillId="0" borderId="0" xfId="0" applyFill="1" applyBorder="1" applyProtection="1"/>
    <xf numFmtId="2" fontId="0" fillId="0" borderId="0" xfId="0" applyNumberFormat="1" applyProtection="1"/>
    <xf numFmtId="0" fontId="0" fillId="8" borderId="12" xfId="0" applyFill="1" applyBorder="1"/>
    <xf numFmtId="0" fontId="83" fillId="20" borderId="12" xfId="2" applyBorder="1" applyProtection="1">
      <protection locked="0"/>
    </xf>
    <xf numFmtId="165" fontId="38" fillId="10" borderId="0" xfId="0" quotePrefix="1" applyNumberFormat="1" applyFont="1" applyFill="1" applyBorder="1" applyAlignment="1" applyProtection="1">
      <alignment vertical="center"/>
    </xf>
    <xf numFmtId="165" fontId="39" fillId="10" borderId="0" xfId="0" quotePrefix="1" applyNumberFormat="1" applyFont="1" applyFill="1" applyBorder="1" applyAlignment="1" applyProtection="1">
      <alignment vertical="center"/>
    </xf>
    <xf numFmtId="0" fontId="40" fillId="0" borderId="0" xfId="0" applyFont="1" applyFill="1" applyBorder="1"/>
    <xf numFmtId="164" fontId="86" fillId="1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right"/>
    </xf>
    <xf numFmtId="0" fontId="40" fillId="0" borderId="0" xfId="0" quotePrefix="1" applyFont="1" applyAlignment="1">
      <alignment horizontal="left"/>
    </xf>
    <xf numFmtId="0" fontId="87" fillId="10" borderId="0" xfId="0" quotePrefix="1" applyFont="1" applyFill="1" applyBorder="1" applyAlignment="1">
      <alignment horizontal="center"/>
    </xf>
    <xf numFmtId="0" fontId="0" fillId="0" borderId="0" xfId="0" applyFill="1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39" fillId="11" borderId="0" xfId="0" applyFont="1" applyFill="1" applyBorder="1" applyAlignment="1">
      <alignment horizontal="center" vertical="center"/>
    </xf>
    <xf numFmtId="0" fontId="3" fillId="11" borderId="0" xfId="0" applyFont="1" applyFill="1" applyBorder="1" applyAlignment="1" applyProtection="1">
      <alignment horizontal="center" vertical="center"/>
    </xf>
    <xf numFmtId="0" fontId="39" fillId="10" borderId="0" xfId="0" quotePrefix="1" applyFont="1" applyFill="1" applyBorder="1"/>
    <xf numFmtId="0" fontId="39" fillId="10" borderId="0" xfId="0" quotePrefix="1" applyFont="1" applyFill="1" applyBorder="1" applyAlignment="1" applyProtection="1">
      <alignment vertical="center"/>
    </xf>
    <xf numFmtId="0" fontId="4" fillId="10" borderId="18" xfId="0" applyFont="1" applyFill="1" applyBorder="1" applyAlignment="1" applyProtection="1">
      <alignment horizontal="right" vertical="center"/>
    </xf>
    <xf numFmtId="0" fontId="34" fillId="10" borderId="18" xfId="0" applyFont="1" applyFill="1" applyBorder="1" applyAlignment="1" applyProtection="1">
      <alignment vertical="center"/>
    </xf>
    <xf numFmtId="0" fontId="72" fillId="10" borderId="18" xfId="0" applyFont="1" applyFill="1" applyBorder="1" applyAlignment="1" applyProtection="1">
      <alignment vertical="center"/>
    </xf>
    <xf numFmtId="165" fontId="0" fillId="10" borderId="18" xfId="0" applyNumberFormat="1" applyFill="1" applyBorder="1" applyAlignment="1" applyProtection="1">
      <alignment vertical="center"/>
    </xf>
    <xf numFmtId="0" fontId="38" fillId="10" borderId="18" xfId="0" applyFont="1" applyFill="1" applyBorder="1" applyAlignment="1" applyProtection="1">
      <alignment horizontal="left" vertical="center"/>
    </xf>
    <xf numFmtId="0" fontId="4" fillId="10" borderId="24" xfId="0" applyFont="1" applyFill="1" applyBorder="1" applyAlignment="1" applyProtection="1">
      <alignment horizontal="center" vertical="center" wrapText="1"/>
    </xf>
    <xf numFmtId="1" fontId="62" fillId="10" borderId="36" xfId="0" applyNumberFormat="1" applyFont="1" applyFill="1" applyBorder="1" applyAlignment="1" applyProtection="1">
      <alignment horizontal="center" vertical="center"/>
    </xf>
    <xf numFmtId="1" fontId="43" fillId="10" borderId="24" xfId="0" applyNumberFormat="1" applyFont="1" applyFill="1" applyBorder="1" applyAlignment="1" applyProtection="1">
      <alignment horizontal="left" vertical="center"/>
    </xf>
    <xf numFmtId="168" fontId="43" fillId="10" borderId="24" xfId="0" applyNumberFormat="1" applyFont="1" applyFill="1" applyBorder="1" applyAlignment="1" applyProtection="1">
      <alignment horizontal="left" vertical="center"/>
    </xf>
    <xf numFmtId="0" fontId="15" fillId="10" borderId="24" xfId="0" applyFont="1" applyFill="1" applyBorder="1" applyAlignment="1" applyProtection="1">
      <alignment horizontal="center" vertical="center" wrapText="1"/>
    </xf>
    <xf numFmtId="0" fontId="52" fillId="10" borderId="24" xfId="0" applyFont="1" applyFill="1" applyBorder="1" applyAlignment="1" applyProtection="1">
      <alignment vertical="center"/>
    </xf>
    <xf numFmtId="167" fontId="53" fillId="10" borderId="18" xfId="0" applyNumberFormat="1" applyFont="1" applyFill="1" applyBorder="1" applyAlignment="1" applyProtection="1">
      <alignment horizontal="left" vertical="center"/>
    </xf>
    <xf numFmtId="0" fontId="15" fillId="10" borderId="18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right"/>
    </xf>
    <xf numFmtId="0" fontId="0" fillId="10" borderId="12" xfId="0" applyFill="1" applyBorder="1"/>
    <xf numFmtId="9" fontId="0" fillId="10" borderId="12" xfId="0" applyNumberFormat="1" applyFill="1" applyBorder="1"/>
    <xf numFmtId="1" fontId="0" fillId="10" borderId="12" xfId="0" applyNumberFormat="1" applyFill="1" applyBorder="1"/>
    <xf numFmtId="3" fontId="0" fillId="10" borderId="12" xfId="0" applyNumberFormat="1" applyFill="1" applyBorder="1"/>
    <xf numFmtId="171" fontId="0" fillId="22" borderId="12" xfId="0" applyNumberFormat="1" applyFill="1" applyBorder="1"/>
    <xf numFmtId="0" fontId="0" fillId="22" borderId="12" xfId="0" applyFill="1" applyBorder="1"/>
    <xf numFmtId="164" fontId="0" fillId="22" borderId="12" xfId="0" applyNumberFormat="1" applyFill="1" applyBorder="1"/>
    <xf numFmtId="0" fontId="1" fillId="10" borderId="0" xfId="0" quotePrefix="1" applyFont="1" applyFill="1" applyBorder="1" applyAlignment="1" applyProtection="1">
      <alignment horizontal="right"/>
    </xf>
    <xf numFmtId="0" fontId="40" fillId="0" borderId="0" xfId="0" applyFont="1" applyBorder="1" applyAlignment="1" applyProtection="1">
      <alignment horizontal="center"/>
    </xf>
    <xf numFmtId="0" fontId="0" fillId="0" borderId="53" xfId="0" applyFont="1" applyBorder="1"/>
    <xf numFmtId="0" fontId="0" fillId="0" borderId="5" xfId="0" applyFont="1" applyBorder="1"/>
    <xf numFmtId="0" fontId="0" fillId="0" borderId="27" xfId="0" applyFont="1" applyBorder="1"/>
    <xf numFmtId="0" fontId="40" fillId="0" borderId="13" xfId="0" applyFont="1" applyBorder="1"/>
    <xf numFmtId="0" fontId="26" fillId="0" borderId="0" xfId="0" applyFont="1" applyFill="1" applyBorder="1" applyAlignment="1" applyProtection="1">
      <alignment vertical="center"/>
    </xf>
    <xf numFmtId="0" fontId="0" fillId="0" borderId="2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60" fillId="10" borderId="0" xfId="0" applyFont="1" applyFill="1" applyBorder="1" applyAlignment="1" applyProtection="1">
      <alignment horizontal="left" vertical="center"/>
    </xf>
    <xf numFmtId="0" fontId="0" fillId="0" borderId="12" xfId="0" applyBorder="1" applyAlignment="1" applyProtection="1">
      <alignment horizontal="center"/>
      <protection locked="0"/>
    </xf>
    <xf numFmtId="49" fontId="37" fillId="4" borderId="17" xfId="0" applyNumberFormat="1" applyFont="1" applyFill="1" applyBorder="1" applyAlignment="1" applyProtection="1">
      <alignment wrapText="1"/>
      <protection locked="0"/>
    </xf>
    <xf numFmtId="14" fontId="13" fillId="4" borderId="17" xfId="0" applyNumberFormat="1" applyFont="1" applyFill="1" applyBorder="1" applyAlignment="1" applyProtection="1">
      <alignment wrapText="1"/>
      <protection locked="0"/>
    </xf>
    <xf numFmtId="49" fontId="13" fillId="4" borderId="17" xfId="0" applyNumberFormat="1" applyFont="1" applyFill="1" applyBorder="1" applyAlignment="1" applyProtection="1">
      <alignment vertical="center" wrapText="1"/>
      <protection locked="0"/>
    </xf>
    <xf numFmtId="49" fontId="13" fillId="0" borderId="0" xfId="0" applyNumberFormat="1" applyFont="1" applyFill="1" applyBorder="1" applyAlignment="1" applyProtection="1">
      <alignment vertical="center" wrapText="1"/>
    </xf>
    <xf numFmtId="49" fontId="38" fillId="0" borderId="0" xfId="0" applyNumberFormat="1" applyFont="1" applyFill="1" applyBorder="1" applyAlignment="1" applyProtection="1">
      <alignment horizontal="center" vertical="center"/>
    </xf>
    <xf numFmtId="49" fontId="37" fillId="4" borderId="17" xfId="0" applyNumberFormat="1" applyFont="1" applyFill="1" applyBorder="1" applyAlignment="1" applyProtection="1">
      <alignment vertical="center" wrapText="1"/>
      <protection locked="0"/>
    </xf>
    <xf numFmtId="49" fontId="38" fillId="0" borderId="0" xfId="0" applyNumberFormat="1" applyFont="1" applyFill="1" applyBorder="1" applyAlignment="1" applyProtection="1">
      <alignment horizontal="right" vertical="center"/>
    </xf>
    <xf numFmtId="1" fontId="39" fillId="14" borderId="17" xfId="0" applyNumberFormat="1" applyFont="1" applyFill="1" applyBorder="1" applyAlignment="1" applyProtection="1">
      <alignment horizontal="center" vertical="center"/>
      <protection locked="0"/>
    </xf>
    <xf numFmtId="1" fontId="39" fillId="14" borderId="23" xfId="0" applyNumberFormat="1" applyFont="1" applyFill="1" applyBorder="1" applyAlignment="1" applyProtection="1">
      <alignment horizontal="center" vertical="center"/>
      <protection locked="0"/>
    </xf>
    <xf numFmtId="169" fontId="90" fillId="9" borderId="17" xfId="0" applyNumberFormat="1" applyFont="1" applyFill="1" applyBorder="1" applyAlignment="1" applyProtection="1">
      <alignment horizontal="center" vertical="center"/>
    </xf>
    <xf numFmtId="1" fontId="42" fillId="14" borderId="17" xfId="0" applyNumberFormat="1" applyFont="1" applyFill="1" applyBorder="1" applyAlignment="1" applyProtection="1">
      <alignment vertical="center"/>
      <protection locked="0"/>
    </xf>
    <xf numFmtId="0" fontId="0" fillId="10" borderId="24" xfId="0" quotePrefix="1" applyFill="1" applyBorder="1" applyAlignment="1" applyProtection="1">
      <alignment vertical="center"/>
    </xf>
    <xf numFmtId="0" fontId="34" fillId="10" borderId="36" xfId="0" applyFont="1" applyFill="1" applyBorder="1" applyAlignment="1" applyProtection="1">
      <alignment vertical="center"/>
    </xf>
    <xf numFmtId="0" fontId="40" fillId="0" borderId="0" xfId="0" applyFont="1" applyBorder="1" applyAlignment="1"/>
    <xf numFmtId="1" fontId="62" fillId="1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/>
    <xf numFmtId="0" fontId="0" fillId="0" borderId="0" xfId="0" applyBorder="1" applyAlignment="1"/>
    <xf numFmtId="0" fontId="65" fillId="0" borderId="0" xfId="0" quotePrefix="1" applyFont="1" applyBorder="1" applyAlignment="1"/>
    <xf numFmtId="0" fontId="83" fillId="20" borderId="12" xfId="2" applyNumberFormat="1" applyBorder="1" applyProtection="1">
      <protection locked="0"/>
    </xf>
    <xf numFmtId="9" fontId="0" fillId="8" borderId="28" xfId="1" applyFont="1" applyFill="1" applyBorder="1" applyAlignment="1">
      <alignment horizontal="right"/>
    </xf>
    <xf numFmtId="1" fontId="83" fillId="9" borderId="5" xfId="2" applyNumberFormat="1" applyFill="1" applyBorder="1" applyAlignment="1" applyProtection="1">
      <alignment horizontal="center" shrinkToFit="1"/>
    </xf>
    <xf numFmtId="49" fontId="83" fillId="9" borderId="5" xfId="2" applyNumberFormat="1" applyFill="1" applyBorder="1" applyAlignment="1" applyProtection="1">
      <alignment horizontal="center"/>
    </xf>
    <xf numFmtId="49" fontId="83" fillId="9" borderId="12" xfId="2" applyNumberFormat="1" applyFill="1" applyBorder="1" applyAlignment="1" applyProtection="1">
      <alignment horizontal="center"/>
    </xf>
    <xf numFmtId="0" fontId="0" fillId="0" borderId="18" xfId="0" applyBorder="1" applyProtection="1"/>
    <xf numFmtId="0" fontId="0" fillId="10" borderId="24" xfId="0" applyFill="1" applyBorder="1" applyProtection="1"/>
    <xf numFmtId="0" fontId="34" fillId="10" borderId="0" xfId="0" applyFont="1" applyFill="1" applyBorder="1" applyProtection="1"/>
    <xf numFmtId="0" fontId="42" fillId="10" borderId="0" xfId="0" quotePrefix="1" applyFont="1" applyFill="1" applyBorder="1" applyAlignment="1" applyProtection="1">
      <alignment horizontal="center"/>
    </xf>
    <xf numFmtId="0" fontId="64" fillId="10" borderId="0" xfId="0" applyFont="1" applyFill="1" applyBorder="1" applyAlignment="1" applyProtection="1"/>
    <xf numFmtId="0" fontId="38" fillId="10" borderId="18" xfId="0" applyFont="1" applyFill="1" applyBorder="1" applyAlignment="1" applyProtection="1">
      <alignment horizontal="center"/>
    </xf>
    <xf numFmtId="0" fontId="0" fillId="10" borderId="18" xfId="0" applyFill="1" applyBorder="1" applyProtection="1"/>
    <xf numFmtId="0" fontId="41" fillId="14" borderId="17" xfId="0" applyFont="1" applyFill="1" applyBorder="1" applyAlignment="1" applyProtection="1">
      <alignment horizontal="center" vertical="center"/>
      <protection locked="0"/>
    </xf>
    <xf numFmtId="0" fontId="0" fillId="13" borderId="0" xfId="0" applyFill="1" applyBorder="1" applyProtection="1"/>
    <xf numFmtId="0" fontId="0" fillId="13" borderId="27" xfId="0" applyFill="1" applyBorder="1" applyProtection="1"/>
    <xf numFmtId="0" fontId="17" fillId="13" borderId="0" xfId="0" applyFont="1" applyFill="1" applyBorder="1" applyAlignment="1" applyProtection="1"/>
    <xf numFmtId="0" fontId="17" fillId="13" borderId="0" xfId="0" applyFont="1" applyFill="1" applyBorder="1" applyProtection="1"/>
    <xf numFmtId="0" fontId="17" fillId="13" borderId="22" xfId="0" applyFont="1" applyFill="1" applyBorder="1" applyProtection="1"/>
    <xf numFmtId="0" fontId="0" fillId="13" borderId="22" xfId="0" applyFill="1" applyBorder="1" applyProtection="1"/>
    <xf numFmtId="0" fontId="17" fillId="13" borderId="6" xfId="0" applyFont="1" applyFill="1" applyBorder="1" applyProtection="1"/>
    <xf numFmtId="0" fontId="0" fillId="13" borderId="18" xfId="0" applyFill="1" applyBorder="1" applyProtection="1"/>
    <xf numFmtId="1" fontId="17" fillId="13" borderId="18" xfId="0" applyNumberFormat="1" applyFont="1" applyFill="1" applyBorder="1" applyAlignment="1" applyProtection="1">
      <alignment horizontal="center"/>
    </xf>
    <xf numFmtId="0" fontId="17" fillId="13" borderId="18" xfId="0" applyFont="1" applyFill="1" applyBorder="1" applyProtection="1"/>
    <xf numFmtId="164" fontId="17" fillId="13" borderId="18" xfId="0" applyNumberFormat="1" applyFont="1" applyFill="1" applyBorder="1" applyAlignment="1" applyProtection="1">
      <alignment horizontal="center"/>
    </xf>
    <xf numFmtId="0" fontId="0" fillId="13" borderId="8" xfId="0" applyFill="1" applyBorder="1" applyProtection="1"/>
    <xf numFmtId="1" fontId="17" fillId="14" borderId="17" xfId="0" applyNumberFormat="1" applyFont="1" applyFill="1" applyBorder="1" applyAlignment="1" applyProtection="1">
      <alignment horizontal="center"/>
      <protection locked="0"/>
    </xf>
    <xf numFmtId="0" fontId="17" fillId="13" borderId="21" xfId="0" applyFont="1" applyFill="1" applyBorder="1" applyAlignment="1" applyProtection="1">
      <alignment horizontal="left"/>
    </xf>
    <xf numFmtId="0" fontId="0" fillId="13" borderId="24" xfId="0" applyFill="1" applyBorder="1" applyProtection="1"/>
    <xf numFmtId="0" fontId="71" fillId="20" borderId="12" xfId="2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49" fontId="39" fillId="14" borderId="17" xfId="0" applyNumberFormat="1" applyFont="1" applyFill="1" applyBorder="1" applyAlignment="1" applyProtection="1">
      <alignment horizontal="center" vertical="center"/>
      <protection locked="0"/>
    </xf>
    <xf numFmtId="49" fontId="40" fillId="0" borderId="0" xfId="0" applyNumberFormat="1" applyFont="1" applyAlignment="1">
      <alignment horizontal="center"/>
    </xf>
    <xf numFmtId="0" fontId="40" fillId="0" borderId="0" xfId="0" quotePrefix="1" applyFont="1" applyFill="1" applyBorder="1" applyAlignment="1">
      <alignment horizontal="center"/>
    </xf>
    <xf numFmtId="1" fontId="57" fillId="8" borderId="28" xfId="2" quotePrefix="1" applyNumberFormat="1" applyFont="1" applyFill="1" applyBorder="1" applyProtection="1"/>
    <xf numFmtId="1" fontId="40" fillId="9" borderId="54" xfId="0" applyNumberFormat="1" applyFont="1" applyFill="1" applyBorder="1"/>
    <xf numFmtId="0" fontId="0" fillId="21" borderId="3" xfId="0" applyFill="1" applyBorder="1"/>
    <xf numFmtId="0" fontId="0" fillId="0" borderId="31" xfId="0" applyBorder="1" applyAlignment="1" applyProtection="1">
      <alignment vertical="center"/>
    </xf>
    <xf numFmtId="0" fontId="5" fillId="0" borderId="32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31" xfId="0" applyFont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 wrapText="1"/>
    </xf>
    <xf numFmtId="0" fontId="13" fillId="0" borderId="31" xfId="0" applyFont="1" applyFill="1" applyBorder="1" applyAlignment="1" applyProtection="1">
      <alignment vertical="center" wrapText="1"/>
    </xf>
    <xf numFmtId="0" fontId="0" fillId="0" borderId="32" xfId="0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right" vertical="center"/>
    </xf>
    <xf numFmtId="49" fontId="13" fillId="0" borderId="0" xfId="0" applyNumberFormat="1" applyFont="1" applyBorder="1" applyAlignment="1" applyProtection="1">
      <alignment vertical="center" wrapText="1"/>
    </xf>
    <xf numFmtId="49" fontId="4" fillId="0" borderId="0" xfId="0" applyNumberFormat="1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 wrapText="1"/>
    </xf>
    <xf numFmtId="49" fontId="3" fillId="0" borderId="0" xfId="0" applyNumberFormat="1" applyFont="1" applyBorder="1" applyAlignment="1" applyProtection="1">
      <alignment vertical="center" wrapText="1"/>
    </xf>
    <xf numFmtId="49" fontId="40" fillId="0" borderId="0" xfId="0" applyNumberFormat="1" applyFont="1" applyBorder="1" applyAlignment="1" applyProtection="1">
      <alignment vertical="center"/>
    </xf>
    <xf numFmtId="0" fontId="0" fillId="10" borderId="55" xfId="0" applyFill="1" applyBorder="1" applyAlignment="1" applyProtection="1">
      <alignment vertical="center"/>
    </xf>
    <xf numFmtId="0" fontId="49" fillId="10" borderId="32" xfId="0" applyFont="1" applyFill="1" applyBorder="1" applyAlignment="1" applyProtection="1">
      <alignment horizontal="center" vertical="center"/>
    </xf>
    <xf numFmtId="0" fontId="0" fillId="10" borderId="32" xfId="0" applyFill="1" applyBorder="1" applyAlignment="1" applyProtection="1">
      <alignment vertical="center"/>
    </xf>
    <xf numFmtId="0" fontId="48" fillId="10" borderId="31" xfId="0" applyFont="1" applyFill="1" applyBorder="1" applyAlignment="1" applyProtection="1">
      <alignment vertical="center"/>
    </xf>
    <xf numFmtId="0" fontId="0" fillId="10" borderId="31" xfId="0" applyFill="1" applyBorder="1" applyAlignment="1" applyProtection="1">
      <alignment vertical="center"/>
    </xf>
    <xf numFmtId="0" fontId="4" fillId="10" borderId="32" xfId="0" applyFont="1" applyFill="1" applyBorder="1" applyAlignment="1" applyProtection="1">
      <alignment horizontal="right" vertical="center"/>
    </xf>
    <xf numFmtId="0" fontId="4" fillId="10" borderId="3" xfId="0" applyFont="1" applyFill="1" applyBorder="1" applyAlignment="1" applyProtection="1">
      <alignment horizontal="right" vertical="center"/>
    </xf>
    <xf numFmtId="0" fontId="0" fillId="10" borderId="56" xfId="0" applyFill="1" applyBorder="1" applyAlignment="1" applyProtection="1">
      <alignment vertical="center"/>
    </xf>
    <xf numFmtId="0" fontId="4" fillId="10" borderId="40" xfId="0" applyFont="1" applyFill="1" applyBorder="1" applyAlignment="1" applyProtection="1">
      <alignment horizontal="center" vertical="center" wrapText="1"/>
    </xf>
    <xf numFmtId="0" fontId="0" fillId="10" borderId="3" xfId="0" applyFill="1" applyBorder="1" applyAlignment="1" applyProtection="1">
      <alignment vertical="center"/>
    </xf>
    <xf numFmtId="0" fontId="0" fillId="10" borderId="40" xfId="0" applyFill="1" applyBorder="1" applyAlignment="1" applyProtection="1">
      <alignment vertical="center"/>
    </xf>
    <xf numFmtId="0" fontId="0" fillId="0" borderId="58" xfId="0" applyBorder="1"/>
    <xf numFmtId="0" fontId="0" fillId="0" borderId="59" xfId="0" applyBorder="1"/>
    <xf numFmtId="0" fontId="40" fillId="0" borderId="61" xfId="0" applyFont="1" applyBorder="1" applyAlignment="1"/>
    <xf numFmtId="0" fontId="0" fillId="0" borderId="60" xfId="0" applyBorder="1"/>
    <xf numFmtId="0" fontId="40" fillId="0" borderId="0" xfId="0" applyFont="1" applyBorder="1"/>
    <xf numFmtId="0" fontId="0" fillId="0" borderId="61" xfId="0" applyBorder="1"/>
    <xf numFmtId="0" fontId="93" fillId="0" borderId="0" xfId="0" applyFont="1" applyBorder="1" applyAlignment="1">
      <alignment horizontal="center" vertical="center"/>
    </xf>
    <xf numFmtId="0" fontId="0" fillId="0" borderId="60" xfId="0" applyBorder="1" applyAlignment="1">
      <alignment horizontal="center"/>
    </xf>
    <xf numFmtId="0" fontId="0" fillId="0" borderId="62" xfId="0" applyBorder="1" applyAlignment="1"/>
    <xf numFmtId="0" fontId="0" fillId="0" borderId="60" xfId="0" applyBorder="1" applyAlignment="1"/>
    <xf numFmtId="0" fontId="0" fillId="0" borderId="60" xfId="0" applyBorder="1" applyAlignment="1">
      <alignment horizontal="right"/>
    </xf>
    <xf numFmtId="0" fontId="40" fillId="0" borderId="61" xfId="0" applyFont="1" applyBorder="1"/>
    <xf numFmtId="0" fontId="0" fillId="0" borderId="64" xfId="0" applyBorder="1"/>
    <xf numFmtId="0" fontId="40" fillId="0" borderId="60" xfId="0" applyFont="1" applyBorder="1" applyAlignment="1">
      <alignment horizontal="right"/>
    </xf>
    <xf numFmtId="0" fontId="40" fillId="0" borderId="60" xfId="0" quotePrefix="1" applyFont="1" applyBorder="1" applyAlignment="1">
      <alignment horizontal="right"/>
    </xf>
    <xf numFmtId="0" fontId="0" fillId="0" borderId="65" xfId="0" applyBorder="1"/>
    <xf numFmtId="0" fontId="40" fillId="0" borderId="64" xfId="0" applyFont="1" applyBorder="1"/>
    <xf numFmtId="0" fontId="40" fillId="0" borderId="60" xfId="0" quotePrefix="1" applyFont="1" applyFill="1" applyBorder="1" applyAlignment="1">
      <alignment horizontal="center"/>
    </xf>
    <xf numFmtId="0" fontId="40" fillId="0" borderId="61" xfId="0" quotePrefix="1" applyFont="1" applyFill="1" applyBorder="1" applyAlignment="1">
      <alignment horizontal="center"/>
    </xf>
    <xf numFmtId="0" fontId="64" fillId="10" borderId="0" xfId="0" applyFont="1" applyFill="1" applyBorder="1" applyAlignment="1" applyProtection="1">
      <alignment vertical="center"/>
    </xf>
    <xf numFmtId="169" fontId="39" fillId="9" borderId="17" xfId="0" applyNumberFormat="1" applyFont="1" applyFill="1" applyBorder="1" applyAlignment="1" applyProtection="1">
      <alignment horizontal="center" vertical="center"/>
    </xf>
    <xf numFmtId="169" fontId="39" fillId="9" borderId="20" xfId="0" applyNumberFormat="1" applyFont="1" applyFill="1" applyBorder="1" applyAlignment="1" applyProtection="1">
      <alignment horizontal="center" vertical="center"/>
    </xf>
    <xf numFmtId="0" fontId="15" fillId="10" borderId="0" xfId="0" applyFont="1" applyFill="1" applyBorder="1" applyAlignment="1" applyProtection="1">
      <alignment horizontal="center" vertical="center" wrapText="1"/>
    </xf>
    <xf numFmtId="169" fontId="38" fillId="10" borderId="0" xfId="0" applyNumberFormat="1" applyFont="1" applyFill="1" applyBorder="1" applyAlignment="1" applyProtection="1">
      <alignment horizontal="center" vertical="center"/>
    </xf>
    <xf numFmtId="0" fontId="44" fillId="10" borderId="2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right" vertical="center" wrapText="1"/>
    </xf>
    <xf numFmtId="0" fontId="49" fillId="10" borderId="24" xfId="0" applyFon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vertical="center"/>
    </xf>
    <xf numFmtId="0" fontId="0" fillId="6" borderId="18" xfId="0" applyFill="1" applyBorder="1" applyAlignment="1" applyProtection="1">
      <alignment vertical="center"/>
    </xf>
    <xf numFmtId="0" fontId="64" fillId="10" borderId="0" xfId="0" applyFont="1" applyFill="1" applyBorder="1" applyAlignment="1" applyProtection="1">
      <alignment horizontal="left"/>
    </xf>
    <xf numFmtId="0" fontId="0" fillId="6" borderId="56" xfId="0" applyFill="1" applyBorder="1" applyAlignment="1" applyProtection="1">
      <alignment vertical="center"/>
    </xf>
    <xf numFmtId="0" fontId="0" fillId="21" borderId="51" xfId="0" applyFill="1" applyBorder="1"/>
    <xf numFmtId="0" fontId="0" fillId="21" borderId="29" xfId="0" applyFill="1" applyBorder="1"/>
    <xf numFmtId="0" fontId="6" fillId="21" borderId="29" xfId="0" applyFont="1" applyFill="1" applyBorder="1" applyProtection="1"/>
    <xf numFmtId="0" fontId="0" fillId="21" borderId="29" xfId="0" applyFill="1" applyBorder="1" applyProtection="1"/>
    <xf numFmtId="0" fontId="0" fillId="6" borderId="29" xfId="0" applyFill="1" applyBorder="1" applyAlignment="1" applyProtection="1">
      <alignment vertical="center"/>
    </xf>
    <xf numFmtId="0" fontId="0" fillId="6" borderId="30" xfId="0" applyFill="1" applyBorder="1" applyAlignment="1" applyProtection="1">
      <alignment vertical="center"/>
    </xf>
    <xf numFmtId="0" fontId="0" fillId="21" borderId="32" xfId="0" applyFill="1" applyBorder="1"/>
    <xf numFmtId="0" fontId="0" fillId="6" borderId="31" xfId="0" applyFill="1" applyBorder="1" applyAlignment="1" applyProtection="1">
      <alignment vertical="center"/>
    </xf>
    <xf numFmtId="0" fontId="0" fillId="10" borderId="22" xfId="0" applyFill="1" applyBorder="1" applyProtection="1"/>
    <xf numFmtId="165" fontId="72" fillId="10" borderId="22" xfId="0" applyNumberFormat="1" applyFont="1" applyFill="1" applyBorder="1" applyAlignment="1" applyProtection="1"/>
    <xf numFmtId="9" fontId="0" fillId="10" borderId="5" xfId="0" applyNumberFormat="1" applyFill="1" applyBorder="1" applyAlignment="1" applyProtection="1">
      <alignment horizontal="center"/>
    </xf>
    <xf numFmtId="0" fontId="40" fillId="10" borderId="22" xfId="0" applyFont="1" applyFill="1" applyBorder="1" applyAlignment="1" applyProtection="1">
      <alignment horizontal="center" vertical="top"/>
    </xf>
    <xf numFmtId="165" fontId="38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/>
    </xf>
    <xf numFmtId="0" fontId="0" fillId="0" borderId="31" xfId="0" applyFill="1" applyBorder="1" applyAlignment="1" applyProtection="1">
      <alignment vertical="center"/>
    </xf>
    <xf numFmtId="0" fontId="3" fillId="0" borderId="32" xfId="0" applyFont="1" applyFill="1" applyBorder="1" applyAlignment="1" applyProtection="1">
      <alignment vertical="center" wrapText="1"/>
    </xf>
    <xf numFmtId="0" fontId="0" fillId="24" borderId="0" xfId="0" applyFill="1" applyBorder="1" applyAlignment="1" applyProtection="1">
      <alignment vertical="center"/>
    </xf>
    <xf numFmtId="0" fontId="0" fillId="24" borderId="31" xfId="0" applyFill="1" applyBorder="1" applyAlignment="1" applyProtection="1">
      <alignment vertical="center"/>
    </xf>
    <xf numFmtId="0" fontId="3" fillId="24" borderId="32" xfId="0" applyFont="1" applyFill="1" applyBorder="1" applyAlignment="1" applyProtection="1">
      <alignment vertical="center"/>
    </xf>
    <xf numFmtId="0" fontId="0" fillId="24" borderId="24" xfId="0" applyFill="1" applyBorder="1" applyAlignment="1" applyProtection="1">
      <alignment vertical="center"/>
    </xf>
    <xf numFmtId="0" fontId="0" fillId="24" borderId="55" xfId="0" applyFill="1" applyBorder="1" applyAlignment="1" applyProtection="1">
      <alignment vertical="center"/>
    </xf>
    <xf numFmtId="0" fontId="4" fillId="24" borderId="32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horizontal="right" vertical="center"/>
    </xf>
    <xf numFmtId="0" fontId="3" fillId="24" borderId="0" xfId="0" applyFont="1" applyFill="1" applyBorder="1" applyAlignment="1" applyProtection="1">
      <alignment vertical="center" wrapText="1"/>
    </xf>
    <xf numFmtId="0" fontId="13" fillId="24" borderId="0" xfId="0" applyFont="1" applyFill="1" applyBorder="1" applyAlignment="1" applyProtection="1">
      <alignment horizontal="center" vertical="center"/>
    </xf>
    <xf numFmtId="0" fontId="38" fillId="24" borderId="0" xfId="0" applyFont="1" applyFill="1" applyBorder="1" applyAlignment="1" applyProtection="1">
      <alignment vertical="center"/>
    </xf>
    <xf numFmtId="0" fontId="46" fillId="24" borderId="0" xfId="0" applyFont="1" applyFill="1" applyBorder="1" applyAlignment="1" applyProtection="1">
      <alignment vertical="center"/>
    </xf>
    <xf numFmtId="3" fontId="13" fillId="24" borderId="17" xfId="0" applyNumberFormat="1" applyFont="1" applyFill="1" applyBorder="1" applyAlignment="1" applyProtection="1">
      <alignment horizontal="center" vertical="center"/>
      <protection locked="0"/>
    </xf>
    <xf numFmtId="0" fontId="39" fillId="24" borderId="0" xfId="0" applyFont="1" applyFill="1" applyBorder="1" applyAlignment="1" applyProtection="1">
      <alignment vertical="center"/>
    </xf>
    <xf numFmtId="0" fontId="26" fillId="24" borderId="0" xfId="0" applyFont="1" applyFill="1" applyBorder="1" applyAlignment="1" applyProtection="1">
      <alignment vertical="center"/>
    </xf>
    <xf numFmtId="0" fontId="94" fillId="24" borderId="32" xfId="0" applyFont="1" applyFill="1" applyBorder="1" applyAlignment="1" applyProtection="1">
      <alignment vertical="center"/>
    </xf>
    <xf numFmtId="0" fontId="40" fillId="24" borderId="0" xfId="0" applyFont="1" applyFill="1" applyBorder="1" applyAlignment="1" applyProtection="1">
      <alignment vertical="center"/>
    </xf>
    <xf numFmtId="3" fontId="91" fillId="24" borderId="0" xfId="0" applyNumberFormat="1" applyFont="1" applyFill="1" applyBorder="1" applyAlignment="1" applyProtection="1">
      <alignment horizontal="left" vertical="center"/>
    </xf>
    <xf numFmtId="0" fontId="0" fillId="24" borderId="0" xfId="0" quotePrefix="1" applyFill="1" applyBorder="1" applyAlignment="1" applyProtection="1">
      <alignment vertical="center"/>
    </xf>
    <xf numFmtId="0" fontId="0" fillId="24" borderId="32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vertical="center"/>
    </xf>
    <xf numFmtId="0" fontId="4" fillId="10" borderId="0" xfId="0" applyFont="1" applyFill="1" applyBorder="1" applyAlignment="1" applyProtection="1">
      <alignment horizontal="right"/>
    </xf>
    <xf numFmtId="49" fontId="13" fillId="14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164" fontId="0" fillId="0" borderId="0" xfId="0" applyNumberFormat="1" applyBorder="1" applyAlignment="1" applyProtection="1">
      <alignment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31" fillId="13" borderId="0" xfId="0" applyFont="1" applyFill="1" applyBorder="1" applyAlignment="1" applyProtection="1"/>
    <xf numFmtId="0" fontId="31" fillId="13" borderId="22" xfId="0" applyFont="1" applyFill="1" applyBorder="1" applyAlignment="1" applyProtection="1"/>
    <xf numFmtId="0" fontId="0" fillId="21" borderId="30" xfId="0" applyFill="1" applyBorder="1"/>
    <xf numFmtId="0" fontId="0" fillId="21" borderId="31" xfId="0" applyFill="1" applyBorder="1"/>
    <xf numFmtId="0" fontId="18" fillId="0" borderId="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9" fillId="0" borderId="31" xfId="0" applyFont="1" applyBorder="1" applyAlignment="1">
      <alignment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13" fillId="0" borderId="0" xfId="0" applyFont="1" applyBorder="1" applyAlignment="1">
      <alignment wrapText="1"/>
    </xf>
    <xf numFmtId="0" fontId="4" fillId="0" borderId="0" xfId="0" applyFont="1" applyBorder="1" applyAlignment="1"/>
    <xf numFmtId="49" fontId="13" fillId="0" borderId="0" xfId="0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right" wrapText="1"/>
    </xf>
    <xf numFmtId="49" fontId="9" fillId="0" borderId="0" xfId="0" applyNumberFormat="1" applyFont="1" applyBorder="1" applyAlignment="1">
      <alignment wrapText="1"/>
    </xf>
    <xf numFmtId="49" fontId="40" fillId="0" borderId="0" xfId="0" applyNumberFormat="1" applyFont="1" applyBorder="1" applyProtection="1"/>
    <xf numFmtId="0" fontId="9" fillId="0" borderId="32" xfId="0" applyFont="1" applyBorder="1" applyAlignment="1" applyProtection="1">
      <alignment wrapText="1"/>
    </xf>
    <xf numFmtId="0" fontId="0" fillId="0" borderId="31" xfId="0" applyBorder="1"/>
    <xf numFmtId="0" fontId="9" fillId="11" borderId="32" xfId="0" applyFont="1" applyFill="1" applyBorder="1" applyProtection="1"/>
    <xf numFmtId="0" fontId="0" fillId="0" borderId="56" xfId="0" applyFill="1" applyBorder="1"/>
    <xf numFmtId="0" fontId="0" fillId="11" borderId="31" xfId="0" applyFill="1" applyBorder="1"/>
    <xf numFmtId="0" fontId="0" fillId="11" borderId="0" xfId="0" applyFill="1" applyBorder="1" applyProtection="1"/>
    <xf numFmtId="0" fontId="9" fillId="11" borderId="0" xfId="0" applyFont="1" applyFill="1" applyBorder="1" applyAlignment="1">
      <alignment wrapText="1"/>
    </xf>
    <xf numFmtId="0" fontId="46" fillId="11" borderId="0" xfId="0" applyFont="1" applyFill="1" applyBorder="1"/>
    <xf numFmtId="0" fontId="39" fillId="11" borderId="0" xfId="0" applyFont="1" applyFill="1" applyBorder="1"/>
    <xf numFmtId="0" fontId="4" fillId="11" borderId="32" xfId="0" applyFont="1" applyFill="1" applyBorder="1" applyAlignment="1" applyProtection="1">
      <alignment horizontal="left"/>
    </xf>
    <xf numFmtId="0" fontId="0" fillId="11" borderId="0" xfId="0" quotePrefix="1" applyFill="1" applyBorder="1" applyAlignment="1">
      <alignment horizontal="left" vertical="top"/>
    </xf>
    <xf numFmtId="0" fontId="4" fillId="11" borderId="3" xfId="0" applyFont="1" applyFill="1" applyBorder="1" applyProtection="1"/>
    <xf numFmtId="0" fontId="0" fillId="11" borderId="56" xfId="0" applyFill="1" applyBorder="1"/>
    <xf numFmtId="0" fontId="0" fillId="0" borderId="31" xfId="0" quotePrefix="1" applyBorder="1"/>
    <xf numFmtId="0" fontId="26" fillId="0" borderId="31" xfId="0" quotePrefix="1" applyFont="1" applyFill="1" applyBorder="1" applyAlignment="1">
      <alignment horizontal="left" vertical="center"/>
    </xf>
    <xf numFmtId="0" fontId="0" fillId="5" borderId="32" xfId="0" applyFill="1" applyBorder="1"/>
    <xf numFmtId="0" fontId="26" fillId="5" borderId="55" xfId="0" quotePrefix="1" applyFont="1" applyFill="1" applyBorder="1" applyAlignment="1">
      <alignment horizontal="left" vertical="center"/>
    </xf>
    <xf numFmtId="0" fontId="0" fillId="5" borderId="31" xfId="0" applyFill="1" applyBorder="1"/>
    <xf numFmtId="0" fontId="4" fillId="5" borderId="32" xfId="0" applyFont="1" applyFill="1" applyBorder="1" applyProtection="1"/>
    <xf numFmtId="0" fontId="39" fillId="5" borderId="31" xfId="0" applyFont="1" applyFill="1" applyBorder="1" applyProtection="1"/>
    <xf numFmtId="0" fontId="38" fillId="5" borderId="32" xfId="0" applyFont="1" applyFill="1" applyBorder="1" applyProtection="1"/>
    <xf numFmtId="0" fontId="0" fillId="18" borderId="32" xfId="0" applyFill="1" applyBorder="1" applyAlignment="1">
      <alignment vertical="top"/>
    </xf>
    <xf numFmtId="0" fontId="77" fillId="18" borderId="32" xfId="0" applyFont="1" applyFill="1" applyBorder="1" applyAlignment="1"/>
    <xf numFmtId="0" fontId="39" fillId="5" borderId="31" xfId="0" applyFont="1" applyFill="1" applyBorder="1"/>
    <xf numFmtId="0" fontId="0" fillId="5" borderId="3" xfId="0" applyFill="1" applyBorder="1"/>
    <xf numFmtId="0" fontId="0" fillId="5" borderId="56" xfId="0" applyFill="1" applyBorder="1"/>
    <xf numFmtId="0" fontId="38" fillId="0" borderId="0" xfId="0" applyFont="1" applyBorder="1" applyAlignment="1" applyProtection="1">
      <alignment horizontal="right"/>
    </xf>
    <xf numFmtId="0" fontId="0" fillId="10" borderId="32" xfId="0" applyFill="1" applyBorder="1"/>
    <xf numFmtId="0" fontId="4" fillId="10" borderId="32" xfId="0" applyFont="1" applyFill="1" applyBorder="1" applyAlignment="1" applyProtection="1">
      <alignment horizontal="right"/>
    </xf>
    <xf numFmtId="0" fontId="4" fillId="10" borderId="32" xfId="0" applyFont="1" applyFill="1" applyBorder="1" applyAlignment="1" applyProtection="1"/>
    <xf numFmtId="0" fontId="15" fillId="10" borderId="31" xfId="0" applyFont="1" applyFill="1" applyBorder="1" applyAlignment="1" applyProtection="1">
      <alignment horizontal="center" vertical="center" wrapText="1"/>
    </xf>
    <xf numFmtId="0" fontId="4" fillId="10" borderId="3" xfId="0" applyFont="1" applyFill="1" applyBorder="1" applyAlignment="1" applyProtection="1"/>
    <xf numFmtId="0" fontId="0" fillId="10" borderId="56" xfId="0" applyFill="1" applyBorder="1" applyProtection="1"/>
    <xf numFmtId="0" fontId="0" fillId="21" borderId="38" xfId="0" applyFill="1" applyBorder="1"/>
    <xf numFmtId="0" fontId="0" fillId="21" borderId="34" xfId="0" applyFill="1" applyBorder="1"/>
    <xf numFmtId="0" fontId="0" fillId="21" borderId="73" xfId="0" applyFill="1" applyBorder="1"/>
    <xf numFmtId="0" fontId="40" fillId="0" borderId="0" xfId="0" applyFont="1" applyBorder="1" applyAlignment="1">
      <alignment horizontal="left"/>
    </xf>
    <xf numFmtId="166" fontId="0" fillId="6" borderId="12" xfId="0" applyNumberFormat="1" applyFill="1" applyBorder="1" applyProtection="1"/>
    <xf numFmtId="165" fontId="38" fillId="0" borderId="0" xfId="0" applyNumberFormat="1" applyFont="1" applyFill="1" applyBorder="1" applyAlignment="1" applyProtection="1">
      <alignment horizontal="left" wrapText="1"/>
    </xf>
    <xf numFmtId="0" fontId="0" fillId="0" borderId="0" xfId="0" applyFill="1" applyBorder="1" applyAlignment="1">
      <alignment horizontal="left" wrapText="1"/>
    </xf>
    <xf numFmtId="0" fontId="13" fillId="0" borderId="40" xfId="0" applyFont="1" applyFill="1" applyBorder="1" applyAlignment="1" applyProtection="1">
      <alignment horizontal="center" wrapText="1"/>
    </xf>
    <xf numFmtId="0" fontId="13" fillId="0" borderId="24" xfId="0" applyFont="1" applyFill="1" applyBorder="1" applyAlignment="1" applyProtection="1">
      <alignment horizontal="center" wrapText="1"/>
    </xf>
    <xf numFmtId="0" fontId="5" fillId="21" borderId="34" xfId="0" applyFont="1" applyFill="1" applyBorder="1" applyAlignment="1" applyProtection="1">
      <alignment horizontal="center"/>
    </xf>
    <xf numFmtId="0" fontId="71" fillId="5" borderId="0" xfId="0" quotePrefix="1" applyNumberFormat="1" applyFont="1" applyFill="1" applyBorder="1" applyAlignment="1" applyProtection="1">
      <alignment horizontal="left"/>
    </xf>
    <xf numFmtId="0" fontId="71" fillId="5" borderId="22" xfId="0" quotePrefix="1" applyNumberFormat="1" applyFont="1" applyFill="1" applyBorder="1" applyAlignment="1" applyProtection="1">
      <alignment horizontal="left"/>
    </xf>
    <xf numFmtId="169" fontId="18" fillId="9" borderId="23" xfId="0" applyNumberFormat="1" applyFont="1" applyFill="1" applyBorder="1" applyAlignment="1" applyProtection="1">
      <alignment horizontal="center" vertical="center" wrapText="1"/>
    </xf>
    <xf numFmtId="169" fontId="18" fillId="9" borderId="20" xfId="0" applyNumberFormat="1" applyFont="1" applyFill="1" applyBorder="1" applyAlignment="1" applyProtection="1">
      <alignment horizontal="center" vertical="center" wrapText="1"/>
    </xf>
    <xf numFmtId="0" fontId="40" fillId="10" borderId="0" xfId="0" applyFont="1" applyFill="1" applyBorder="1" applyAlignment="1" applyProtection="1">
      <alignment horizontal="center"/>
    </xf>
    <xf numFmtId="0" fontId="40" fillId="10" borderId="31" xfId="0" applyFont="1" applyFill="1" applyBorder="1" applyAlignment="1" applyProtection="1">
      <alignment horizontal="center"/>
    </xf>
    <xf numFmtId="0" fontId="60" fillId="18" borderId="32" xfId="0" quotePrefix="1" applyFont="1" applyFill="1" applyBorder="1" applyAlignment="1">
      <alignment vertical="center"/>
    </xf>
    <xf numFmtId="0" fontId="60" fillId="18" borderId="0" xfId="0" applyFont="1" applyFill="1" applyBorder="1" applyAlignment="1">
      <alignment vertical="center"/>
    </xf>
    <xf numFmtId="0" fontId="38" fillId="18" borderId="0" xfId="0" quotePrefix="1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right" vertical="center" wrapText="1"/>
    </xf>
    <xf numFmtId="0" fontId="40" fillId="5" borderId="0" xfId="0" applyFont="1" applyFill="1" applyBorder="1" applyAlignment="1">
      <alignment horizontal="left"/>
    </xf>
    <xf numFmtId="0" fontId="0" fillId="5" borderId="0" xfId="0" applyFill="1" applyBorder="1" applyAlignment="1">
      <alignment horizontal="left"/>
    </xf>
    <xf numFmtId="165" fontId="85" fillId="10" borderId="32" xfId="0" applyNumberFormat="1" applyFont="1" applyFill="1" applyBorder="1" applyAlignment="1" applyProtection="1">
      <alignment horizontal="center"/>
    </xf>
    <xf numFmtId="165" fontId="85" fillId="10" borderId="22" xfId="0" applyNumberFormat="1" applyFont="1" applyFill="1" applyBorder="1" applyAlignment="1" applyProtection="1">
      <alignment horizontal="center"/>
    </xf>
    <xf numFmtId="0" fontId="4" fillId="10" borderId="32" xfId="0" applyFont="1" applyFill="1" applyBorder="1" applyAlignment="1" applyProtection="1">
      <alignment horizontal="right"/>
    </xf>
    <xf numFmtId="0" fontId="4" fillId="10" borderId="0" xfId="0" applyFont="1" applyFill="1" applyBorder="1" applyAlignment="1" applyProtection="1">
      <alignment horizontal="right"/>
    </xf>
    <xf numFmtId="0" fontId="28" fillId="11" borderId="40" xfId="0" applyFont="1" applyFill="1" applyBorder="1" applyAlignment="1" applyProtection="1">
      <alignment horizontal="center"/>
    </xf>
    <xf numFmtId="0" fontId="28" fillId="11" borderId="24" xfId="0" applyFont="1" applyFill="1" applyBorder="1" applyAlignment="1" applyProtection="1">
      <alignment horizontal="center"/>
    </xf>
    <xf numFmtId="0" fontId="28" fillId="11" borderId="27" xfId="0" applyFont="1" applyFill="1" applyBorder="1" applyAlignment="1" applyProtection="1">
      <alignment horizontal="center"/>
    </xf>
    <xf numFmtId="49" fontId="4" fillId="0" borderId="10" xfId="0" applyNumberFormat="1" applyFont="1" applyBorder="1" applyAlignment="1" applyProtection="1">
      <alignment horizontal="left" vertical="top" wrapText="1"/>
      <protection locked="0"/>
    </xf>
    <xf numFmtId="49" fontId="4" fillId="0" borderId="36" xfId="0" applyNumberFormat="1" applyFont="1" applyBorder="1" applyAlignment="1" applyProtection="1">
      <alignment horizontal="left" vertical="top" wrapText="1"/>
      <protection locked="0"/>
    </xf>
    <xf numFmtId="49" fontId="4" fillId="0" borderId="71" xfId="0" applyNumberFormat="1" applyFont="1" applyBorder="1" applyAlignment="1" applyProtection="1">
      <alignment horizontal="left" vertical="top" wrapText="1"/>
      <protection locked="0"/>
    </xf>
    <xf numFmtId="49" fontId="4" fillId="0" borderId="41" xfId="0" applyNumberFormat="1" applyFont="1" applyBorder="1" applyAlignment="1" applyProtection="1">
      <alignment horizontal="left" vertical="top" wrapText="1"/>
      <protection locked="0"/>
    </xf>
    <xf numFmtId="49" fontId="4" fillId="0" borderId="19" xfId="0" applyNumberFormat="1" applyFont="1" applyBorder="1" applyAlignment="1" applyProtection="1">
      <alignment horizontal="left" vertical="top" wrapText="1"/>
      <protection locked="0"/>
    </xf>
    <xf numFmtId="49" fontId="4" fillId="0" borderId="72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horizontal="right" wrapText="1"/>
    </xf>
    <xf numFmtId="49" fontId="13" fillId="4" borderId="37" xfId="0" applyNumberFormat="1" applyFont="1" applyFill="1" applyBorder="1" applyAlignment="1" applyProtection="1">
      <alignment wrapText="1"/>
      <protection locked="0"/>
    </xf>
    <xf numFmtId="49" fontId="13" fillId="4" borderId="39" xfId="0" applyNumberFormat="1" applyFont="1" applyFill="1" applyBorder="1" applyAlignment="1" applyProtection="1">
      <alignment wrapText="1"/>
      <protection locked="0"/>
    </xf>
    <xf numFmtId="49" fontId="37" fillId="4" borderId="39" xfId="0" applyNumberFormat="1" applyFont="1" applyFill="1" applyBorder="1" applyAlignment="1" applyProtection="1">
      <alignment wrapText="1"/>
      <protection locked="0"/>
    </xf>
    <xf numFmtId="49" fontId="37" fillId="4" borderId="25" xfId="0" applyNumberFormat="1" applyFont="1" applyFill="1" applyBorder="1" applyAlignment="1" applyProtection="1">
      <alignment wrapText="1"/>
      <protection locked="0"/>
    </xf>
    <xf numFmtId="0" fontId="3" fillId="4" borderId="37" xfId="0" applyFont="1" applyFill="1" applyBorder="1" applyAlignment="1" applyProtection="1">
      <alignment horizontal="center"/>
      <protection locked="0"/>
    </xf>
    <xf numFmtId="0" fontId="3" fillId="4" borderId="39" xfId="0" applyFont="1" applyFill="1" applyBorder="1" applyAlignment="1" applyProtection="1">
      <alignment horizontal="center"/>
      <protection locked="0"/>
    </xf>
    <xf numFmtId="0" fontId="3" fillId="4" borderId="25" xfId="0" applyFont="1" applyFill="1" applyBorder="1" applyAlignment="1" applyProtection="1">
      <alignment horizontal="center"/>
      <protection locked="0"/>
    </xf>
    <xf numFmtId="49" fontId="13" fillId="4" borderId="37" xfId="0" applyNumberFormat="1" applyFont="1" applyFill="1" applyBorder="1" applyAlignment="1" applyProtection="1">
      <alignment horizontal="center" wrapText="1"/>
      <protection locked="0"/>
    </xf>
    <xf numFmtId="49" fontId="13" fillId="4" borderId="39" xfId="0" applyNumberFormat="1" applyFont="1" applyFill="1" applyBorder="1" applyAlignment="1" applyProtection="1">
      <alignment horizontal="center" wrapText="1"/>
      <protection locked="0"/>
    </xf>
    <xf numFmtId="49" fontId="13" fillId="4" borderId="25" xfId="0" applyNumberFormat="1" applyFont="1" applyFill="1" applyBorder="1" applyAlignment="1" applyProtection="1">
      <alignment horizontal="center" wrapText="1"/>
      <protection locked="0"/>
    </xf>
    <xf numFmtId="0" fontId="39" fillId="5" borderId="0" xfId="0" applyFont="1" applyFill="1" applyBorder="1" applyAlignment="1">
      <alignment horizontal="right"/>
    </xf>
    <xf numFmtId="0" fontId="40" fillId="0" borderId="21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0" fontId="4" fillId="11" borderId="32" xfId="0" applyFont="1" applyFill="1" applyBorder="1" applyAlignment="1" applyProtection="1">
      <alignment horizontal="right"/>
    </xf>
    <xf numFmtId="0" fontId="4" fillId="11" borderId="0" xfId="0" applyFont="1" applyFill="1" applyBorder="1" applyAlignment="1" applyProtection="1">
      <alignment horizontal="right"/>
    </xf>
    <xf numFmtId="0" fontId="49" fillId="5" borderId="40" xfId="0" applyFont="1" applyFill="1" applyBorder="1" applyAlignment="1">
      <alignment horizontal="center"/>
    </xf>
    <xf numFmtId="0" fontId="49" fillId="5" borderId="24" xfId="0" applyFont="1" applyFill="1" applyBorder="1" applyAlignment="1">
      <alignment horizontal="center"/>
    </xf>
    <xf numFmtId="0" fontId="49" fillId="5" borderId="27" xfId="0" applyFont="1" applyFill="1" applyBorder="1" applyAlignment="1">
      <alignment horizontal="center"/>
    </xf>
    <xf numFmtId="0" fontId="3" fillId="18" borderId="32" xfId="0" applyFont="1" applyFill="1" applyBorder="1" applyAlignment="1" applyProtection="1">
      <alignment horizontal="center"/>
    </xf>
    <xf numFmtId="0" fontId="3" fillId="18" borderId="0" xfId="0" applyFont="1" applyFill="1" applyBorder="1" applyAlignment="1" applyProtection="1">
      <alignment horizontal="center"/>
    </xf>
    <xf numFmtId="0" fontId="16" fillId="11" borderId="32" xfId="0" applyFont="1" applyFill="1" applyBorder="1" applyAlignment="1" applyProtection="1">
      <alignment horizontal="right"/>
    </xf>
    <xf numFmtId="0" fontId="16" fillId="11" borderId="0" xfId="0" applyFont="1" applyFill="1" applyBorder="1" applyAlignment="1" applyProtection="1">
      <alignment horizontal="right"/>
    </xf>
    <xf numFmtId="0" fontId="38" fillId="10" borderId="35" xfId="0" applyFont="1" applyFill="1" applyBorder="1" applyAlignment="1">
      <alignment horizontal="left" vertical="top" wrapText="1"/>
    </xf>
    <xf numFmtId="0" fontId="38" fillId="10" borderId="24" xfId="0" applyFont="1" applyFill="1" applyBorder="1" applyAlignment="1">
      <alignment horizontal="left" vertical="top" wrapText="1"/>
    </xf>
    <xf numFmtId="0" fontId="38" fillId="10" borderId="55" xfId="0" applyFont="1" applyFill="1" applyBorder="1" applyAlignment="1">
      <alignment horizontal="left" vertical="top" wrapText="1"/>
    </xf>
    <xf numFmtId="0" fontId="38" fillId="10" borderId="21" xfId="0" applyFont="1" applyFill="1" applyBorder="1" applyAlignment="1">
      <alignment horizontal="left" vertical="top" wrapText="1"/>
    </xf>
    <xf numFmtId="0" fontId="38" fillId="10" borderId="0" xfId="0" applyFont="1" applyFill="1" applyBorder="1" applyAlignment="1">
      <alignment horizontal="left" vertical="top" wrapText="1"/>
    </xf>
    <xf numFmtId="0" fontId="38" fillId="10" borderId="31" xfId="0" applyFont="1" applyFill="1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56" xfId="0" applyBorder="1" applyAlignment="1">
      <alignment wrapText="1"/>
    </xf>
    <xf numFmtId="0" fontId="39" fillId="10" borderId="13" xfId="0" applyFont="1" applyFill="1" applyBorder="1" applyAlignment="1" applyProtection="1">
      <alignment horizontal="center" vertical="center"/>
    </xf>
    <xf numFmtId="0" fontId="39" fillId="10" borderId="36" xfId="0" applyFont="1" applyFill="1" applyBorder="1" applyAlignment="1" applyProtection="1">
      <alignment horizontal="center" vertical="center"/>
    </xf>
    <xf numFmtId="0" fontId="39" fillId="10" borderId="71" xfId="0" applyFont="1" applyFill="1" applyBorder="1" applyAlignment="1" applyProtection="1">
      <alignment horizontal="center" vertical="center"/>
    </xf>
    <xf numFmtId="165" fontId="38" fillId="10" borderId="35" xfId="0" applyNumberFormat="1" applyFont="1" applyFill="1" applyBorder="1" applyAlignment="1" applyProtection="1">
      <alignment horizontal="left" vertical="top" wrapText="1"/>
    </xf>
    <xf numFmtId="165" fontId="38" fillId="10" borderId="24" xfId="0" applyNumberFormat="1" applyFont="1" applyFill="1" applyBorder="1" applyAlignment="1" applyProtection="1">
      <alignment horizontal="left" vertical="top" wrapText="1"/>
    </xf>
    <xf numFmtId="165" fontId="38" fillId="10" borderId="55" xfId="0" applyNumberFormat="1" applyFont="1" applyFill="1" applyBorder="1" applyAlignment="1" applyProtection="1">
      <alignment horizontal="left" vertical="top" wrapText="1"/>
    </xf>
    <xf numFmtId="165" fontId="38" fillId="10" borderId="6" xfId="0" applyNumberFormat="1" applyFont="1" applyFill="1" applyBorder="1" applyAlignment="1" applyProtection="1">
      <alignment horizontal="left" vertical="top" wrapText="1"/>
    </xf>
    <xf numFmtId="165" fontId="38" fillId="10" borderId="18" xfId="0" applyNumberFormat="1" applyFont="1" applyFill="1" applyBorder="1" applyAlignment="1" applyProtection="1">
      <alignment horizontal="left" vertical="top" wrapText="1"/>
    </xf>
    <xf numFmtId="165" fontId="38" fillId="10" borderId="56" xfId="0" applyNumberFormat="1" applyFont="1" applyFill="1" applyBorder="1" applyAlignment="1" applyProtection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40" fillId="11" borderId="0" xfId="0" quotePrefix="1" applyFont="1" applyFill="1" applyBorder="1" applyAlignment="1">
      <alignment horizontal="left" vertical="center" wrapText="1"/>
    </xf>
    <xf numFmtId="0" fontId="38" fillId="11" borderId="0" xfId="0" applyFont="1" applyFill="1" applyBorder="1" applyAlignment="1">
      <alignment horizontal="right" vertical="center" wrapText="1"/>
    </xf>
    <xf numFmtId="0" fontId="49" fillId="10" borderId="40" xfId="0" applyFont="1" applyFill="1" applyBorder="1" applyAlignment="1" applyProtection="1">
      <alignment horizontal="center"/>
    </xf>
    <xf numFmtId="0" fontId="49" fillId="10" borderId="24" xfId="0" applyFont="1" applyFill="1" applyBorder="1" applyAlignment="1" applyProtection="1">
      <alignment horizontal="center"/>
    </xf>
    <xf numFmtId="0" fontId="49" fillId="10" borderId="27" xfId="0" applyFont="1" applyFill="1" applyBorder="1" applyAlignment="1" applyProtection="1">
      <alignment horizontal="center"/>
    </xf>
    <xf numFmtId="0" fontId="13" fillId="0" borderId="10" xfId="0" applyFont="1" applyBorder="1" applyAlignment="1" applyProtection="1">
      <alignment horizontal="left" wrapText="1"/>
    </xf>
    <xf numFmtId="0" fontId="0" fillId="0" borderId="36" xfId="0" applyBorder="1" applyAlignment="1" applyProtection="1">
      <alignment horizontal="left" wrapText="1"/>
    </xf>
    <xf numFmtId="0" fontId="0" fillId="0" borderId="71" xfId="0" applyBorder="1" applyAlignment="1" applyProtection="1">
      <alignment horizontal="left" wrapText="1"/>
    </xf>
    <xf numFmtId="0" fontId="64" fillId="10" borderId="18" xfId="0" applyFont="1" applyFill="1" applyBorder="1" applyAlignment="1" applyProtection="1">
      <alignment horizontal="left"/>
    </xf>
    <xf numFmtId="0" fontId="3" fillId="10" borderId="32" xfId="0" applyFont="1" applyFill="1" applyBorder="1" applyAlignment="1" applyProtection="1">
      <alignment horizontal="right" vertical="center"/>
    </xf>
    <xf numFmtId="0" fontId="3" fillId="10" borderId="0" xfId="0" applyFont="1" applyFill="1" applyBorder="1" applyAlignment="1" applyProtection="1">
      <alignment horizontal="right" vertical="center"/>
    </xf>
    <xf numFmtId="0" fontId="38" fillId="10" borderId="6" xfId="0" applyFont="1" applyFill="1" applyBorder="1" applyAlignment="1">
      <alignment horizontal="left" vertical="top" wrapText="1"/>
    </xf>
    <xf numFmtId="0" fontId="38" fillId="10" borderId="18" xfId="0" applyFont="1" applyFill="1" applyBorder="1" applyAlignment="1">
      <alignment horizontal="left" vertical="top" wrapText="1"/>
    </xf>
    <xf numFmtId="0" fontId="38" fillId="10" borderId="56" xfId="0" applyFont="1" applyFill="1" applyBorder="1" applyAlignment="1">
      <alignment horizontal="left" vertical="top" wrapText="1"/>
    </xf>
    <xf numFmtId="0" fontId="0" fillId="0" borderId="35" xfId="0" applyBorder="1" applyAlignment="1" applyProtection="1">
      <alignment horizontal="right" vertical="center"/>
    </xf>
    <xf numFmtId="0" fontId="0" fillId="0" borderId="6" xfId="0" applyBorder="1" applyAlignment="1" applyProtection="1">
      <alignment horizontal="right" vertical="center"/>
    </xf>
    <xf numFmtId="0" fontId="4" fillId="0" borderId="0" xfId="0" quotePrefix="1" applyFont="1" applyAlignment="1" applyProtection="1">
      <alignment horizontal="center" wrapText="1"/>
    </xf>
    <xf numFmtId="0" fontId="4" fillId="0" borderId="26" xfId="0" quotePrefix="1" applyFont="1" applyBorder="1" applyAlignment="1" applyProtection="1">
      <alignment horizontal="center" wrapText="1"/>
    </xf>
    <xf numFmtId="0" fontId="4" fillId="0" borderId="21" xfId="0" quotePrefix="1" applyFont="1" applyBorder="1" applyAlignment="1" applyProtection="1">
      <alignment horizontal="center" wrapText="1"/>
    </xf>
    <xf numFmtId="0" fontId="4" fillId="0" borderId="42" xfId="0" quotePrefix="1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13" fillId="5" borderId="37" xfId="0" applyFont="1" applyFill="1" applyBorder="1" applyAlignment="1" applyProtection="1">
      <alignment horizontal="center"/>
    </xf>
    <xf numFmtId="0" fontId="13" fillId="5" borderId="39" xfId="0" applyFont="1" applyFill="1" applyBorder="1" applyAlignment="1" applyProtection="1">
      <alignment horizontal="center"/>
    </xf>
    <xf numFmtId="0" fontId="13" fillId="5" borderId="25" xfId="0" applyFont="1" applyFill="1" applyBorder="1" applyAlignment="1" applyProtection="1">
      <alignment horizontal="center"/>
    </xf>
    <xf numFmtId="0" fontId="38" fillId="5" borderId="18" xfId="0" applyFont="1" applyFill="1" applyBorder="1" applyAlignment="1" applyProtection="1">
      <alignment horizontal="center"/>
    </xf>
    <xf numFmtId="0" fontId="38" fillId="17" borderId="40" xfId="0" applyFont="1" applyFill="1" applyBorder="1" applyAlignment="1" applyProtection="1">
      <alignment horizontal="center"/>
    </xf>
    <xf numFmtId="0" fontId="38" fillId="17" borderId="24" xfId="0" applyFont="1" applyFill="1" applyBorder="1" applyAlignment="1" applyProtection="1">
      <alignment horizontal="center"/>
    </xf>
    <xf numFmtId="0" fontId="38" fillId="17" borderId="3" xfId="0" applyFont="1" applyFill="1" applyBorder="1" applyAlignment="1" applyProtection="1">
      <alignment horizontal="center"/>
    </xf>
    <xf numFmtId="0" fontId="38" fillId="17" borderId="18" xfId="0" applyFont="1" applyFill="1" applyBorder="1" applyAlignment="1" applyProtection="1">
      <alignment horizontal="center"/>
    </xf>
    <xf numFmtId="0" fontId="38" fillId="16" borderId="36" xfId="0" applyFont="1" applyFill="1" applyBorder="1" applyAlignment="1" applyProtection="1">
      <alignment horizontal="center"/>
      <protection locked="0"/>
    </xf>
    <xf numFmtId="0" fontId="0" fillId="16" borderId="40" xfId="0" applyFill="1" applyBorder="1" applyAlignment="1" applyProtection="1">
      <alignment horizontal="left" vertical="top" wrapText="1"/>
      <protection locked="0"/>
    </xf>
    <xf numFmtId="0" fontId="0" fillId="16" borderId="24" xfId="0" applyFill="1" applyBorder="1" applyAlignment="1" applyProtection="1">
      <alignment horizontal="left" vertical="top" wrapText="1"/>
      <protection locked="0"/>
    </xf>
    <xf numFmtId="0" fontId="0" fillId="16" borderId="27" xfId="0" applyFill="1" applyBorder="1" applyAlignment="1" applyProtection="1">
      <alignment horizontal="left" vertical="top" wrapText="1"/>
      <protection locked="0"/>
    </xf>
    <xf numFmtId="0" fontId="0" fillId="0" borderId="50" xfId="0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horizontal="left" vertical="top" wrapText="1"/>
      <protection locked="0"/>
    </xf>
    <xf numFmtId="0" fontId="0" fillId="0" borderId="52" xfId="0" applyBorder="1" applyAlignment="1" applyProtection="1">
      <alignment horizontal="left" vertical="top" wrapText="1"/>
      <protection locked="0"/>
    </xf>
    <xf numFmtId="0" fontId="56" fillId="18" borderId="36" xfId="0" applyFont="1" applyFill="1" applyBorder="1" applyAlignment="1" applyProtection="1">
      <alignment horizontal="center"/>
    </xf>
    <xf numFmtId="0" fontId="5" fillId="21" borderId="18" xfId="0" applyFont="1" applyFill="1" applyBorder="1" applyAlignment="1" applyProtection="1">
      <alignment horizontal="center"/>
    </xf>
    <xf numFmtId="0" fontId="13" fillId="10" borderId="32" xfId="0" applyFont="1" applyFill="1" applyBorder="1" applyAlignment="1" applyProtection="1">
      <alignment horizontal="left" wrapText="1"/>
    </xf>
    <xf numFmtId="0" fontId="0" fillId="10" borderId="0" xfId="0" applyFill="1" applyBorder="1" applyAlignment="1" applyProtection="1">
      <alignment horizontal="left" wrapText="1"/>
    </xf>
    <xf numFmtId="0" fontId="0" fillId="10" borderId="31" xfId="0" applyFill="1" applyBorder="1" applyAlignment="1" applyProtection="1">
      <alignment horizontal="left" wrapText="1"/>
    </xf>
    <xf numFmtId="0" fontId="0" fillId="10" borderId="32" xfId="0" applyFill="1" applyBorder="1" applyAlignment="1" applyProtection="1">
      <alignment horizontal="left" wrapText="1"/>
    </xf>
    <xf numFmtId="169" fontId="33" fillId="14" borderId="37" xfId="0" applyNumberFormat="1" applyFont="1" applyFill="1" applyBorder="1" applyAlignment="1" applyProtection="1">
      <alignment horizontal="center" vertical="center"/>
      <protection locked="0"/>
    </xf>
    <xf numFmtId="169" fontId="33" fillId="14" borderId="25" xfId="0" applyNumberFormat="1" applyFont="1" applyFill="1" applyBorder="1" applyAlignment="1" applyProtection="1">
      <alignment horizontal="center" vertical="center"/>
      <protection locked="0"/>
    </xf>
    <xf numFmtId="169" fontId="38" fillId="10" borderId="0" xfId="0" applyNumberFormat="1" applyFont="1" applyFill="1" applyBorder="1" applyAlignment="1" applyProtection="1">
      <alignment horizontal="center" vertical="center"/>
    </xf>
    <xf numFmtId="169" fontId="39" fillId="9" borderId="37" xfId="0" applyNumberFormat="1" applyFont="1" applyFill="1" applyBorder="1" applyAlignment="1" applyProtection="1">
      <alignment horizontal="center" vertical="center"/>
    </xf>
    <xf numFmtId="169" fontId="39" fillId="9" borderId="25" xfId="0" applyNumberFormat="1" applyFont="1" applyFill="1" applyBorder="1" applyAlignment="1" applyProtection="1">
      <alignment horizontal="center" vertical="center"/>
    </xf>
    <xf numFmtId="0" fontId="65" fillId="10" borderId="24" xfId="0" applyFont="1" applyFill="1" applyBorder="1" applyAlignment="1" applyProtection="1">
      <alignment horizontal="center" vertical="center"/>
    </xf>
    <xf numFmtId="0" fontId="44" fillId="10" borderId="24" xfId="0" applyFont="1" applyFill="1" applyBorder="1" applyAlignment="1" applyProtection="1">
      <alignment horizontal="center" vertical="center"/>
    </xf>
    <xf numFmtId="169" fontId="39" fillId="23" borderId="37" xfId="0" applyNumberFormat="1" applyFont="1" applyFill="1" applyBorder="1" applyAlignment="1" applyProtection="1">
      <alignment horizontal="center" vertical="center"/>
      <protection locked="0"/>
    </xf>
    <xf numFmtId="169" fontId="39" fillId="23" borderId="25" xfId="0" applyNumberFormat="1" applyFont="1" applyFill="1" applyBorder="1" applyAlignment="1" applyProtection="1">
      <alignment horizontal="center" vertical="center"/>
      <protection locked="0"/>
    </xf>
    <xf numFmtId="169" fontId="39" fillId="14" borderId="37" xfId="0" applyNumberFormat="1" applyFont="1" applyFill="1" applyBorder="1" applyAlignment="1" applyProtection="1">
      <alignment horizontal="center" vertical="center"/>
      <protection locked="0"/>
    </xf>
    <xf numFmtId="169" fontId="39" fillId="14" borderId="25" xfId="0" applyNumberFormat="1" applyFont="1" applyFill="1" applyBorder="1" applyAlignment="1" applyProtection="1">
      <alignment horizontal="center" vertical="center"/>
      <protection locked="0"/>
    </xf>
    <xf numFmtId="0" fontId="96" fillId="10" borderId="0" xfId="0" applyFont="1" applyFill="1" applyBorder="1" applyAlignment="1" applyProtection="1">
      <alignment horizontal="left" vertical="center"/>
    </xf>
    <xf numFmtId="0" fontId="64" fillId="10" borderId="0" xfId="0" applyFont="1" applyFill="1" applyBorder="1" applyAlignment="1" applyProtection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9" fillId="10" borderId="40" xfId="0" applyFont="1" applyFill="1" applyBorder="1" applyAlignment="1" applyProtection="1">
      <alignment horizontal="center" vertical="center"/>
    </xf>
    <xf numFmtId="0" fontId="49" fillId="10" borderId="24" xfId="0" applyFont="1" applyFill="1" applyBorder="1" applyAlignment="1" applyProtection="1">
      <alignment horizontal="center" vertical="center"/>
    </xf>
    <xf numFmtId="0" fontId="49" fillId="10" borderId="27" xfId="0" applyFont="1" applyFill="1" applyBorder="1" applyAlignment="1" applyProtection="1">
      <alignment horizontal="center" vertical="center"/>
    </xf>
    <xf numFmtId="49" fontId="13" fillId="4" borderId="37" xfId="0" applyNumberFormat="1" applyFont="1" applyFill="1" applyBorder="1" applyAlignment="1" applyProtection="1">
      <alignment vertical="center" wrapText="1"/>
      <protection locked="0"/>
    </xf>
    <xf numFmtId="49" fontId="13" fillId="4" borderId="39" xfId="0" applyNumberFormat="1" applyFont="1" applyFill="1" applyBorder="1" applyAlignment="1" applyProtection="1">
      <alignment vertical="center" wrapText="1"/>
      <protection locked="0"/>
    </xf>
    <xf numFmtId="49" fontId="37" fillId="4" borderId="39" xfId="0" applyNumberFormat="1" applyFont="1" applyFill="1" applyBorder="1" applyAlignment="1" applyProtection="1">
      <alignment vertical="center" wrapText="1"/>
      <protection locked="0"/>
    </xf>
    <xf numFmtId="49" fontId="37" fillId="4" borderId="25" xfId="0" applyNumberFormat="1" applyFont="1" applyFill="1" applyBorder="1" applyAlignment="1" applyProtection="1">
      <alignment vertical="center" wrapText="1"/>
      <protection locked="0"/>
    </xf>
    <xf numFmtId="49" fontId="1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40" xfId="0" applyFont="1" applyFill="1" applyBorder="1" applyAlignment="1" applyProtection="1">
      <alignment horizontal="center" vertical="center"/>
    </xf>
    <xf numFmtId="0" fontId="28" fillId="24" borderId="24" xfId="0" applyFont="1" applyFill="1" applyBorder="1" applyAlignment="1" applyProtection="1">
      <alignment horizontal="center" vertical="center"/>
    </xf>
    <xf numFmtId="0" fontId="28" fillId="24" borderId="27" xfId="0" applyFont="1" applyFill="1" applyBorder="1" applyAlignment="1" applyProtection="1">
      <alignment horizontal="center" vertical="center"/>
    </xf>
    <xf numFmtId="0" fontId="40" fillId="0" borderId="6" xfId="0" applyFont="1" applyFill="1" applyBorder="1" applyAlignment="1" applyProtection="1">
      <alignment horizontal="center" vertical="center" wrapText="1"/>
    </xf>
    <xf numFmtId="0" fontId="40" fillId="0" borderId="18" xfId="0" applyFont="1" applyFill="1" applyBorder="1" applyAlignment="1" applyProtection="1">
      <alignment horizontal="center" vertical="center" wrapText="1"/>
    </xf>
    <xf numFmtId="0" fontId="3" fillId="14" borderId="37" xfId="0" applyFont="1" applyFill="1" applyBorder="1" applyAlignment="1" applyProtection="1">
      <alignment horizontal="center" vertical="center"/>
      <protection locked="0"/>
    </xf>
    <xf numFmtId="0" fontId="3" fillId="14" borderId="39" xfId="0" applyFont="1" applyFill="1" applyBorder="1" applyAlignment="1" applyProtection="1">
      <alignment horizontal="center" vertical="center"/>
      <protection locked="0"/>
    </xf>
    <xf numFmtId="0" fontId="3" fillId="14" borderId="25" xfId="0" applyFont="1" applyFill="1" applyBorder="1" applyAlignment="1" applyProtection="1">
      <alignment horizontal="center" vertical="center"/>
      <protection locked="0"/>
    </xf>
    <xf numFmtId="0" fontId="65" fillId="10" borderId="19" xfId="0" applyFont="1" applyFill="1" applyBorder="1" applyAlignment="1" applyProtection="1">
      <alignment horizontal="center" vertical="center"/>
    </xf>
    <xf numFmtId="0" fontId="64" fillId="10" borderId="13" xfId="0" quotePrefix="1" applyFont="1" applyFill="1" applyBorder="1" applyAlignment="1" applyProtection="1">
      <alignment horizontal="left" vertical="center" wrapText="1"/>
    </xf>
    <xf numFmtId="0" fontId="64" fillId="10" borderId="36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 applyProtection="1">
      <alignment horizontal="right" wrapText="1"/>
    </xf>
    <xf numFmtId="0" fontId="13" fillId="0" borderId="0" xfId="0" applyFont="1" applyFill="1" applyBorder="1" applyAlignment="1" applyProtection="1">
      <alignment horizontal="right" wrapText="1"/>
    </xf>
    <xf numFmtId="0" fontId="5" fillId="0" borderId="0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0" borderId="55" xfId="0" applyFont="1" applyBorder="1" applyAlignment="1" applyProtection="1">
      <alignment horizontal="left" vertical="top" wrapText="1"/>
      <protection locked="0"/>
    </xf>
    <xf numFmtId="0" fontId="1" fillId="0" borderId="32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56" xfId="0" applyFont="1" applyBorder="1" applyAlignment="1" applyProtection="1">
      <alignment horizontal="left" vertical="top" wrapText="1"/>
      <protection locked="0"/>
    </xf>
    <xf numFmtId="0" fontId="0" fillId="0" borderId="40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55" xfId="0" applyBorder="1" applyAlignment="1" applyProtection="1">
      <alignment horizontal="left" vertical="top" wrapText="1"/>
      <protection locked="0"/>
    </xf>
    <xf numFmtId="0" fontId="0" fillId="0" borderId="32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69" fillId="0" borderId="0" xfId="0" applyFont="1" applyAlignment="1">
      <alignment horizontal="center"/>
    </xf>
    <xf numFmtId="0" fontId="41" fillId="0" borderId="0" xfId="0" quotePrefix="1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39" fillId="0" borderId="0" xfId="0" applyFont="1" applyAlignment="1">
      <alignment horizontal="center" vertical="center"/>
    </xf>
    <xf numFmtId="0" fontId="0" fillId="14" borderId="67" xfId="0" applyFill="1" applyBorder="1" applyAlignment="1">
      <alignment horizontal="center"/>
    </xf>
    <xf numFmtId="0" fontId="0" fillId="14" borderId="68" xfId="0" applyFill="1" applyBorder="1" applyAlignment="1">
      <alignment horizontal="center"/>
    </xf>
    <xf numFmtId="0" fontId="0" fillId="14" borderId="69" xfId="0" applyFill="1" applyBorder="1" applyAlignment="1">
      <alignment horizontal="center"/>
    </xf>
    <xf numFmtId="0" fontId="0" fillId="14" borderId="70" xfId="0" applyFill="1" applyBorder="1" applyAlignment="1">
      <alignment horizontal="center"/>
    </xf>
    <xf numFmtId="0" fontId="65" fillId="0" borderId="0" xfId="0" applyFont="1" applyBorder="1" applyAlignment="1">
      <alignment horizontal="left"/>
    </xf>
    <xf numFmtId="0" fontId="65" fillId="0" borderId="61" xfId="0" applyFont="1" applyBorder="1" applyAlignment="1">
      <alignment horizontal="left"/>
    </xf>
    <xf numFmtId="0" fontId="65" fillId="0" borderId="35" xfId="0" applyFont="1" applyBorder="1" applyAlignment="1">
      <alignment horizontal="left"/>
    </xf>
    <xf numFmtId="0" fontId="65" fillId="0" borderId="24" xfId="0" applyFont="1" applyBorder="1" applyAlignment="1">
      <alignment horizontal="left"/>
    </xf>
    <xf numFmtId="0" fontId="40" fillId="0" borderId="0" xfId="0" applyFont="1" applyBorder="1" applyAlignment="1">
      <alignment horizontal="left"/>
    </xf>
    <xf numFmtId="0" fontId="40" fillId="0" borderId="22" xfId="0" applyFont="1" applyBorder="1" applyAlignment="1">
      <alignment horizontal="left"/>
    </xf>
    <xf numFmtId="0" fontId="40" fillId="14" borderId="66" xfId="0" quotePrefix="1" applyFont="1" applyFill="1" applyBorder="1" applyAlignment="1">
      <alignment horizontal="center"/>
    </xf>
    <xf numFmtId="0" fontId="40" fillId="14" borderId="36" xfId="0" quotePrefix="1" applyFont="1" applyFill="1" applyBorder="1" applyAlignment="1">
      <alignment horizontal="center"/>
    </xf>
    <xf numFmtId="0" fontId="40" fillId="14" borderId="63" xfId="0" quotePrefix="1" applyFont="1" applyFill="1" applyBorder="1" applyAlignment="1">
      <alignment horizontal="center"/>
    </xf>
    <xf numFmtId="0" fontId="39" fillId="0" borderId="57" xfId="0" applyFont="1" applyBorder="1" applyAlignment="1">
      <alignment horizontal="center"/>
    </xf>
    <xf numFmtId="0" fontId="39" fillId="0" borderId="58" xfId="0" applyFont="1" applyBorder="1" applyAlignment="1">
      <alignment horizontal="center"/>
    </xf>
    <xf numFmtId="0" fontId="0" fillId="0" borderId="6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5" fillId="0" borderId="21" xfId="0" applyFont="1" applyBorder="1" applyAlignment="1">
      <alignment horizontal="left"/>
    </xf>
    <xf numFmtId="0" fontId="0" fillId="9" borderId="13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9" borderId="63" xfId="0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4" borderId="36" xfId="0" applyFill="1" applyBorder="1" applyAlignment="1">
      <alignment horizontal="center"/>
    </xf>
    <xf numFmtId="0" fontId="0" fillId="14" borderId="63" xfId="0" applyFill="1" applyBorder="1" applyAlignment="1">
      <alignment horizontal="center"/>
    </xf>
    <xf numFmtId="0" fontId="65" fillId="0" borderId="0" xfId="0" applyFont="1" applyBorder="1" applyAlignment="1">
      <alignment horizontal="center"/>
    </xf>
    <xf numFmtId="0" fontId="40" fillId="0" borderId="6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8" xfId="0" applyBorder="1" applyAlignment="1">
      <alignment horizontal="center"/>
    </xf>
    <xf numFmtId="0" fontId="4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7" fillId="13" borderId="0" xfId="0" applyFont="1" applyFill="1" applyBorder="1" applyAlignment="1" applyProtection="1">
      <alignment horizontal="left"/>
    </xf>
    <xf numFmtId="0" fontId="39" fillId="13" borderId="0" xfId="0" applyFont="1" applyFill="1" applyBorder="1" applyAlignment="1" applyProtection="1">
      <alignment horizontal="right"/>
    </xf>
    <xf numFmtId="0" fontId="39" fillId="13" borderId="31" xfId="0" applyFont="1" applyFill="1" applyBorder="1" applyAlignment="1" applyProtection="1">
      <alignment horizontal="right"/>
    </xf>
    <xf numFmtId="0" fontId="66" fillId="13" borderId="13" xfId="0" applyFont="1" applyFill="1" applyBorder="1" applyAlignment="1" applyProtection="1">
      <alignment horizontal="center"/>
    </xf>
    <xf numFmtId="0" fontId="66" fillId="13" borderId="36" xfId="0" applyFont="1" applyFill="1" applyBorder="1" applyAlignment="1" applyProtection="1">
      <alignment horizontal="center"/>
    </xf>
    <xf numFmtId="0" fontId="66" fillId="13" borderId="15" xfId="0" applyFont="1" applyFill="1" applyBorder="1" applyAlignment="1" applyProtection="1">
      <alignment horizontal="center"/>
    </xf>
    <xf numFmtId="0" fontId="3" fillId="13" borderId="35" xfId="0" applyFont="1" applyFill="1" applyBorder="1" applyAlignment="1" applyProtection="1">
      <alignment horizontal="left" vertical="center"/>
    </xf>
    <xf numFmtId="0" fontId="3" fillId="13" borderId="24" xfId="0" applyFont="1" applyFill="1" applyBorder="1" applyAlignment="1" applyProtection="1">
      <alignment horizontal="left" vertical="center"/>
    </xf>
    <xf numFmtId="0" fontId="17" fillId="13" borderId="21" xfId="0" applyFont="1" applyFill="1" applyBorder="1" applyAlignment="1" applyProtection="1">
      <alignment horizontal="left"/>
    </xf>
    <xf numFmtId="0" fontId="17" fillId="13" borderId="31" xfId="0" applyFont="1" applyFill="1" applyBorder="1" applyAlignment="1" applyProtection="1">
      <alignment horizontal="left"/>
    </xf>
    <xf numFmtId="0" fontId="17" fillId="14" borderId="0" xfId="0" applyFont="1" applyFill="1" applyBorder="1" applyAlignment="1" applyProtection="1">
      <alignment horizontal="left"/>
    </xf>
    <xf numFmtId="0" fontId="31" fillId="14" borderId="0" xfId="0" applyFont="1" applyFill="1" applyBorder="1" applyAlignment="1" applyProtection="1">
      <alignment horizontal="left"/>
    </xf>
    <xf numFmtId="0" fontId="0" fillId="0" borderId="43" xfId="0" applyFont="1" applyBorder="1" applyAlignment="1" applyProtection="1">
      <alignment horizontal="center"/>
    </xf>
    <xf numFmtId="0" fontId="0" fillId="0" borderId="44" xfId="0" applyFont="1" applyBorder="1" applyAlignment="1" applyProtection="1">
      <alignment horizontal="center"/>
    </xf>
    <xf numFmtId="0" fontId="0" fillId="0" borderId="45" xfId="0" applyFont="1" applyBorder="1" applyAlignment="1" applyProtection="1">
      <alignment horizontal="center" wrapText="1"/>
    </xf>
    <xf numFmtId="0" fontId="0" fillId="0" borderId="46" xfId="0" applyFont="1" applyBorder="1" applyAlignment="1" applyProtection="1"/>
    <xf numFmtId="0" fontId="0" fillId="0" borderId="45" xfId="0" applyBorder="1" applyAlignment="1" applyProtection="1">
      <alignment horizontal="center" wrapText="1"/>
    </xf>
    <xf numFmtId="0" fontId="0" fillId="0" borderId="47" xfId="0" applyFont="1" applyBorder="1" applyAlignment="1" applyProtection="1">
      <alignment horizontal="center"/>
    </xf>
    <xf numFmtId="0" fontId="0" fillId="0" borderId="48" xfId="0" applyFont="1" applyBorder="1" applyAlignment="1" applyProtection="1">
      <alignment horizontal="center" wrapText="1"/>
    </xf>
    <xf numFmtId="0" fontId="0" fillId="0" borderId="49" xfId="0" applyFont="1" applyBorder="1" applyAlignment="1" applyProtection="1"/>
    <xf numFmtId="0" fontId="10" fillId="0" borderId="0" xfId="0" applyFont="1" applyAlignment="1" applyProtection="1"/>
    <xf numFmtId="0" fontId="0" fillId="0" borderId="38" xfId="0" applyFont="1" applyBorder="1" applyAlignment="1" applyProtection="1">
      <alignment wrapText="1"/>
    </xf>
    <xf numFmtId="0" fontId="0" fillId="0" borderId="41" xfId="0" applyFont="1" applyBorder="1" applyAlignment="1" applyProtection="1"/>
    <xf numFmtId="0" fontId="67" fillId="0" borderId="0" xfId="0" applyFont="1" applyAlignment="1">
      <alignment horizontal="center"/>
    </xf>
    <xf numFmtId="0" fontId="68" fillId="0" borderId="0" xfId="0" applyFont="1" applyAlignment="1">
      <alignment horizontal="center"/>
    </xf>
  </cellXfs>
  <cellStyles count="3">
    <cellStyle name="Good" xfId="2" builtinId="26"/>
    <cellStyle name="Normal" xfId="0" builtinId="0"/>
    <cellStyle name="Percent" xfId="1" builtinId="5"/>
  </cellStyles>
  <dxfs count="33"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</dxf>
    <dxf>
      <font>
        <color rgb="FFCCFFCC"/>
      </font>
      <numFmt numFmtId="1" formatCode="0"/>
    </dxf>
    <dxf>
      <font>
        <strike val="0"/>
        <color auto="1"/>
      </font>
      <numFmt numFmtId="1" formatCode="0"/>
    </dxf>
    <dxf>
      <font>
        <color theme="6" tint="0.79998168889431442"/>
      </font>
      <numFmt numFmtId="1" formatCode="0"/>
      <border>
        <left/>
        <right/>
        <top style="thin">
          <color indexed="64"/>
        </top>
        <bottom/>
      </border>
    </dxf>
    <dxf>
      <fill>
        <patternFill>
          <bgColor theme="6" tint="0.79998168889431442"/>
        </patternFill>
      </fill>
    </dxf>
    <dxf>
      <font>
        <color rgb="FFEBF1DE"/>
        <name val="Cambria"/>
        <scheme val="none"/>
      </font>
    </dxf>
    <dxf>
      <font>
        <color rgb="FFCCFFCC"/>
      </font>
    </dxf>
    <dxf>
      <font>
        <strike val="0"/>
        <color rgb="FFCCFFCC"/>
        <name val="Cambria"/>
        <scheme val="none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DDFBFF"/>
      <color rgb="FFCCFFFF"/>
      <color rgb="FFDBEEF4"/>
      <color rgb="FF99FFCC"/>
      <color rgb="FFFFFFFF"/>
      <color rgb="FF66FF99"/>
      <color rgb="FF000000"/>
      <color rgb="FF7030A0"/>
      <color rgb="FFEBE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'Predicted-Depressurization'!$B$15</c:f>
              <c:strCache>
                <c:ptCount val="1"/>
                <c:pt idx="0">
                  <c:v>Predicted Depressurization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shade val="30000"/>
                    <a:satMod val="115000"/>
                  </a:schemeClr>
                </a:gs>
                <a:gs pos="50000">
                  <a:schemeClr val="accent2">
                    <a:shade val="67500"/>
                    <a:satMod val="115000"/>
                  </a:schemeClr>
                </a:gs>
                <a:gs pos="100000">
                  <a:schemeClr val="accent2">
                    <a:shade val="100000"/>
                    <a:satMod val="115000"/>
                  </a:schemeClr>
                </a:gs>
              </a:gsLst>
              <a:lin ang="5400000" scaled="1"/>
              <a:tileRect/>
            </a:gradFill>
          </c:spPr>
          <c:invertIfNegative val="0"/>
          <c:val>
            <c:numRef>
              <c:f>'Predicted-Depressurization'!$C$15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AE-4AD1-B5E5-40AC9776B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6619136"/>
        <c:axId val="111285376"/>
      </c:barChart>
      <c:catAx>
        <c:axId val="96619136"/>
        <c:scaling>
          <c:orientation val="minMax"/>
        </c:scaling>
        <c:delete val="1"/>
        <c:axPos val="b"/>
        <c:majorTickMark val="out"/>
        <c:minorTickMark val="none"/>
        <c:tickLblPos val="none"/>
        <c:crossAx val="111285376"/>
        <c:crosses val="autoZero"/>
        <c:auto val="1"/>
        <c:lblAlgn val="ctr"/>
        <c:lblOffset val="100"/>
        <c:noMultiLvlLbl val="0"/>
      </c:catAx>
      <c:valAx>
        <c:axId val="111285376"/>
        <c:scaling>
          <c:orientation val="minMax"/>
          <c:min val="-1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96619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trlProps/ctrlProp1.xml><?xml version="1.0" encoding="utf-8"?>
<formControlPr xmlns="http://schemas.microsoft.com/office/spreadsheetml/2009/9/main" objectType="GBox"/>
</file>

<file path=xl/ctrlProps/ctrlProp10.xml><?xml version="1.0" encoding="utf-8"?>
<formControlPr xmlns="http://schemas.microsoft.com/office/spreadsheetml/2009/9/main" objectType="Radio" firstButton="1" fmlaLink="'Local Exhaust Ventilation'!$O$4" lockText="1"/>
</file>

<file path=xl/ctrlProps/ctrlProp100.xml><?xml version="1.0" encoding="utf-8"?>
<formControlPr xmlns="http://schemas.microsoft.com/office/spreadsheetml/2009/9/main" objectType="Radio" checked="Checked" lockText="1"/>
</file>

<file path=xl/ctrlProps/ctrlProp101.xml><?xml version="1.0" encoding="utf-8"?>
<formControlPr xmlns="http://schemas.microsoft.com/office/spreadsheetml/2009/9/main" objectType="Radio" firstButton="1" fmlaLink="V18" lockText="1"/>
</file>

<file path=xl/ctrlProps/ctrlProp102.xml><?xml version="1.0" encoding="utf-8"?>
<formControlPr xmlns="http://schemas.microsoft.com/office/spreadsheetml/2009/9/main" objectType="Radio" checked="Checked" lockText="1"/>
</file>

<file path=xl/ctrlProps/ctrlProp103.xml><?xml version="1.0" encoding="utf-8"?>
<formControlPr xmlns="http://schemas.microsoft.com/office/spreadsheetml/2009/9/main" objectType="Radio" firstButton="1" fmlaLink="V19" lockText="1"/>
</file>

<file path=xl/ctrlProps/ctrlProp104.xml><?xml version="1.0" encoding="utf-8"?>
<formControlPr xmlns="http://schemas.microsoft.com/office/spreadsheetml/2009/9/main" objectType="Radio" checked="Checked" lockText="1"/>
</file>

<file path=xl/ctrlProps/ctrlProp105.xml><?xml version="1.0" encoding="utf-8"?>
<formControlPr xmlns="http://schemas.microsoft.com/office/spreadsheetml/2009/9/main" objectType="Radio" firstButton="1" fmlaLink="V20" lockText="1"/>
</file>

<file path=xl/ctrlProps/ctrlProp106.xml><?xml version="1.0" encoding="utf-8"?>
<formControlPr xmlns="http://schemas.microsoft.com/office/spreadsheetml/2009/9/main" objectType="Radio" checked="Checked" lockText="1"/>
</file>

<file path=xl/ctrlProps/ctrlProp107.xml><?xml version="1.0" encoding="utf-8"?>
<formControlPr xmlns="http://schemas.microsoft.com/office/spreadsheetml/2009/9/main" objectType="Radio" firstButton="1" fmlaLink="V21" lockText="1"/>
</file>

<file path=xl/ctrlProps/ctrlProp108.xml><?xml version="1.0" encoding="utf-8"?>
<formControlPr xmlns="http://schemas.microsoft.com/office/spreadsheetml/2009/9/main" objectType="Radio" checked="Checked" lockText="1"/>
</file>

<file path=xl/ctrlProps/ctrlProp109.xml><?xml version="1.0" encoding="utf-8"?>
<formControlPr xmlns="http://schemas.microsoft.com/office/spreadsheetml/2009/9/main" objectType="Radio" firstButton="1" fmlaLink="V22" lockText="1"/>
</file>

<file path=xl/ctrlProps/ctrlProp11.xml><?xml version="1.0" encoding="utf-8"?>
<formControlPr xmlns="http://schemas.microsoft.com/office/spreadsheetml/2009/9/main" objectType="Radio" checked="Checked" lockText="1"/>
</file>

<file path=xl/ctrlProps/ctrlProp110.xml><?xml version="1.0" encoding="utf-8"?>
<formControlPr xmlns="http://schemas.microsoft.com/office/spreadsheetml/2009/9/main" objectType="Radio" checked="Checked" lockText="1"/>
</file>

<file path=xl/ctrlProps/ctrlProp111.xml><?xml version="1.0" encoding="utf-8"?>
<formControlPr xmlns="http://schemas.microsoft.com/office/spreadsheetml/2009/9/main" objectType="Radio" firstButton="1" fmlaLink="V23" lockText="1"/>
</file>

<file path=xl/ctrlProps/ctrlProp112.xml><?xml version="1.0" encoding="utf-8"?>
<formControlPr xmlns="http://schemas.microsoft.com/office/spreadsheetml/2009/9/main" objectType="Radio" checked="Checked" lockText="1"/>
</file>

<file path=xl/ctrlProps/ctrlProp113.xml><?xml version="1.0" encoding="utf-8"?>
<formControlPr xmlns="http://schemas.microsoft.com/office/spreadsheetml/2009/9/main" objectType="GBox"/>
</file>

<file path=xl/ctrlProps/ctrlProp114.xml><?xml version="1.0" encoding="utf-8"?>
<formControlPr xmlns="http://schemas.microsoft.com/office/spreadsheetml/2009/9/main" objectType="GBox"/>
</file>

<file path=xl/ctrlProps/ctrlProp115.xml><?xml version="1.0" encoding="utf-8"?>
<formControlPr xmlns="http://schemas.microsoft.com/office/spreadsheetml/2009/9/main" objectType="GBox"/>
</file>

<file path=xl/ctrlProps/ctrlProp116.xml><?xml version="1.0" encoding="utf-8"?>
<formControlPr xmlns="http://schemas.microsoft.com/office/spreadsheetml/2009/9/main" objectType="GBox"/>
</file>

<file path=xl/ctrlProps/ctrlProp117.xml><?xml version="1.0" encoding="utf-8"?>
<formControlPr xmlns="http://schemas.microsoft.com/office/spreadsheetml/2009/9/main" objectType="GBox"/>
</file>

<file path=xl/ctrlProps/ctrlProp118.xml><?xml version="1.0" encoding="utf-8"?>
<formControlPr xmlns="http://schemas.microsoft.com/office/spreadsheetml/2009/9/main" objectType="GBox"/>
</file>

<file path=xl/ctrlProps/ctrlProp119.xml><?xml version="1.0" encoding="utf-8"?>
<formControlPr xmlns="http://schemas.microsoft.com/office/spreadsheetml/2009/9/main" objectType="GBox"/>
</file>

<file path=xl/ctrlProps/ctrlProp12.xml><?xml version="1.0" encoding="utf-8"?>
<formControlPr xmlns="http://schemas.microsoft.com/office/spreadsheetml/2009/9/main" objectType="GBox"/>
</file>

<file path=xl/ctrlProps/ctrlProp120.xml><?xml version="1.0" encoding="utf-8"?>
<formControlPr xmlns="http://schemas.microsoft.com/office/spreadsheetml/2009/9/main" objectType="GBox"/>
</file>

<file path=xl/ctrlProps/ctrlProp121.xml><?xml version="1.0" encoding="utf-8"?>
<formControlPr xmlns="http://schemas.microsoft.com/office/spreadsheetml/2009/9/main" objectType="GBox"/>
</file>

<file path=xl/ctrlProps/ctrlProp122.xml><?xml version="1.0" encoding="utf-8"?>
<formControlPr xmlns="http://schemas.microsoft.com/office/spreadsheetml/2009/9/main" objectType="GBox"/>
</file>

<file path=xl/ctrlProps/ctrlProp123.xml><?xml version="1.0" encoding="utf-8"?>
<formControlPr xmlns="http://schemas.microsoft.com/office/spreadsheetml/2009/9/main" objectType="GBox"/>
</file>

<file path=xl/ctrlProps/ctrlProp124.xml><?xml version="1.0" encoding="utf-8"?>
<formControlPr xmlns="http://schemas.microsoft.com/office/spreadsheetml/2009/9/main" objectType="GBox"/>
</file>

<file path=xl/ctrlProps/ctrlProp125.xml><?xml version="1.0" encoding="utf-8"?>
<formControlPr xmlns="http://schemas.microsoft.com/office/spreadsheetml/2009/9/main" objectType="GBox"/>
</file>

<file path=xl/ctrlProps/ctrlProp126.xml><?xml version="1.0" encoding="utf-8"?>
<formControlPr xmlns="http://schemas.microsoft.com/office/spreadsheetml/2009/9/main" objectType="GBox"/>
</file>

<file path=xl/ctrlProps/ctrlProp127.xml><?xml version="1.0" encoding="utf-8"?>
<formControlPr xmlns="http://schemas.microsoft.com/office/spreadsheetml/2009/9/main" objectType="GBox"/>
</file>

<file path=xl/ctrlProps/ctrlProp128.xml><?xml version="1.0" encoding="utf-8"?>
<formControlPr xmlns="http://schemas.microsoft.com/office/spreadsheetml/2009/9/main" objectType="GBox"/>
</file>

<file path=xl/ctrlProps/ctrlProp129.xml><?xml version="1.0" encoding="utf-8"?>
<formControlPr xmlns="http://schemas.microsoft.com/office/spreadsheetml/2009/9/main" objectType="GBox"/>
</file>

<file path=xl/ctrlProps/ctrlProp13.xml><?xml version="1.0" encoding="utf-8"?>
<formControlPr xmlns="http://schemas.microsoft.com/office/spreadsheetml/2009/9/main" objectType="Radio" firstButton="1" fmlaLink="'Local Exhaust Ventilation'!$O$5" lockText="1"/>
</file>

<file path=xl/ctrlProps/ctrlProp130.xml><?xml version="1.0" encoding="utf-8"?>
<formControlPr xmlns="http://schemas.microsoft.com/office/spreadsheetml/2009/9/main" objectType="GBox"/>
</file>

<file path=xl/ctrlProps/ctrlProp131.xml><?xml version="1.0" encoding="utf-8"?>
<formControlPr xmlns="http://schemas.microsoft.com/office/spreadsheetml/2009/9/main" objectType="GBox"/>
</file>

<file path=xl/ctrlProps/ctrlProp132.xml><?xml version="1.0" encoding="utf-8"?>
<formControlPr xmlns="http://schemas.microsoft.com/office/spreadsheetml/2009/9/main" objectType="GBox"/>
</file>

<file path=xl/ctrlProps/ctrlProp133.xml><?xml version="1.0" encoding="utf-8"?>
<formControlPr xmlns="http://schemas.microsoft.com/office/spreadsheetml/2009/9/main" objectType="GBox"/>
</file>

<file path=xl/ctrlProps/ctrlProp134.xml><?xml version="1.0" encoding="utf-8"?>
<formControlPr xmlns="http://schemas.microsoft.com/office/spreadsheetml/2009/9/main" objectType="GBox"/>
</file>

<file path=xl/ctrlProps/ctrlProp135.xml><?xml version="1.0" encoding="utf-8"?>
<formControlPr xmlns="http://schemas.microsoft.com/office/spreadsheetml/2009/9/main" objectType="GBox"/>
</file>

<file path=xl/ctrlProps/ctrlProp136.xml><?xml version="1.0" encoding="utf-8"?>
<formControlPr xmlns="http://schemas.microsoft.com/office/spreadsheetml/2009/9/main" objectType="GBox"/>
</file>

<file path=xl/ctrlProps/ctrlProp137.xml><?xml version="1.0" encoding="utf-8"?>
<formControlPr xmlns="http://schemas.microsoft.com/office/spreadsheetml/2009/9/main" objectType="GBox"/>
</file>

<file path=xl/ctrlProps/ctrlProp138.xml><?xml version="1.0" encoding="utf-8"?>
<formControlPr xmlns="http://schemas.microsoft.com/office/spreadsheetml/2009/9/main" objectType="GBox"/>
</file>

<file path=xl/ctrlProps/ctrlProp139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Radio" checked="Checked" lockText="1"/>
</file>

<file path=xl/ctrlProps/ctrlProp140.xml><?xml version="1.0" encoding="utf-8"?>
<formControlPr xmlns="http://schemas.microsoft.com/office/spreadsheetml/2009/9/main" objectType="GBox"/>
</file>

<file path=xl/ctrlProps/ctrlProp141.xml><?xml version="1.0" encoding="utf-8"?>
<formControlPr xmlns="http://schemas.microsoft.com/office/spreadsheetml/2009/9/main" objectType="GBox"/>
</file>

<file path=xl/ctrlProps/ctrlProp142.xml><?xml version="1.0" encoding="utf-8"?>
<formControlPr xmlns="http://schemas.microsoft.com/office/spreadsheetml/2009/9/main" objectType="GBox"/>
</file>

<file path=xl/ctrlProps/ctrlProp143.xml><?xml version="1.0" encoding="utf-8"?>
<formControlPr xmlns="http://schemas.microsoft.com/office/spreadsheetml/2009/9/main" objectType="GBox"/>
</file>

<file path=xl/ctrlProps/ctrlProp144.xml><?xml version="1.0" encoding="utf-8"?>
<formControlPr xmlns="http://schemas.microsoft.com/office/spreadsheetml/2009/9/main" objectType="GBox"/>
</file>

<file path=xl/ctrlProps/ctrlProp145.xml><?xml version="1.0" encoding="utf-8"?>
<formControlPr xmlns="http://schemas.microsoft.com/office/spreadsheetml/2009/9/main" objectType="GBox"/>
</file>

<file path=xl/ctrlProps/ctrlProp146.xml><?xml version="1.0" encoding="utf-8"?>
<formControlPr xmlns="http://schemas.microsoft.com/office/spreadsheetml/2009/9/main" objectType="GBox"/>
</file>

<file path=xl/ctrlProps/ctrlProp147.xml><?xml version="1.0" encoding="utf-8"?>
<formControlPr xmlns="http://schemas.microsoft.com/office/spreadsheetml/2009/9/main" objectType="GBox"/>
</file>

<file path=xl/ctrlProps/ctrlProp148.xml><?xml version="1.0" encoding="utf-8"?>
<formControlPr xmlns="http://schemas.microsoft.com/office/spreadsheetml/2009/9/main" objectType="GBox"/>
</file>

<file path=xl/ctrlProps/ctrlProp149.xml><?xml version="1.0" encoding="utf-8"?>
<formControlPr xmlns="http://schemas.microsoft.com/office/spreadsheetml/2009/9/main" objectType="GBox"/>
</file>

<file path=xl/ctrlProps/ctrlProp15.xml><?xml version="1.0" encoding="utf-8"?>
<formControlPr xmlns="http://schemas.microsoft.com/office/spreadsheetml/2009/9/main" objectType="GBox"/>
</file>

<file path=xl/ctrlProps/ctrlProp150.xml><?xml version="1.0" encoding="utf-8"?>
<formControlPr xmlns="http://schemas.microsoft.com/office/spreadsheetml/2009/9/main" objectType="GBox"/>
</file>

<file path=xl/ctrlProps/ctrlProp151.xml><?xml version="1.0" encoding="utf-8"?>
<formControlPr xmlns="http://schemas.microsoft.com/office/spreadsheetml/2009/9/main" objectType="GBox"/>
</file>

<file path=xl/ctrlProps/ctrlProp152.xml><?xml version="1.0" encoding="utf-8"?>
<formControlPr xmlns="http://schemas.microsoft.com/office/spreadsheetml/2009/9/main" objectType="GBox"/>
</file>

<file path=xl/ctrlProps/ctrlProp153.xml><?xml version="1.0" encoding="utf-8"?>
<formControlPr xmlns="http://schemas.microsoft.com/office/spreadsheetml/2009/9/main" objectType="GBox"/>
</file>

<file path=xl/ctrlProps/ctrlProp154.xml><?xml version="1.0" encoding="utf-8"?>
<formControlPr xmlns="http://schemas.microsoft.com/office/spreadsheetml/2009/9/main" objectType="GBox"/>
</file>

<file path=xl/ctrlProps/ctrlProp155.xml><?xml version="1.0" encoding="utf-8"?>
<formControlPr xmlns="http://schemas.microsoft.com/office/spreadsheetml/2009/9/main" objectType="GBox"/>
</file>

<file path=xl/ctrlProps/ctrlProp156.xml><?xml version="1.0" encoding="utf-8"?>
<formControlPr xmlns="http://schemas.microsoft.com/office/spreadsheetml/2009/9/main" objectType="GBox"/>
</file>

<file path=xl/ctrlProps/ctrlProp157.xml><?xml version="1.0" encoding="utf-8"?>
<formControlPr xmlns="http://schemas.microsoft.com/office/spreadsheetml/2009/9/main" objectType="Radio" firstButton="1" fmlaLink="V34" lockText="1"/>
</file>

<file path=xl/ctrlProps/ctrlProp158.xml><?xml version="1.0" encoding="utf-8"?>
<formControlPr xmlns="http://schemas.microsoft.com/office/spreadsheetml/2009/9/main" objectType="Radio" checked="Checked" lockText="1"/>
</file>

<file path=xl/ctrlProps/ctrlProp159.xml><?xml version="1.0" encoding="utf-8"?>
<formControlPr xmlns="http://schemas.microsoft.com/office/spreadsheetml/2009/9/main" objectType="GBox"/>
</file>

<file path=xl/ctrlProps/ctrlProp16.xml><?xml version="1.0" encoding="utf-8"?>
<formControlPr xmlns="http://schemas.microsoft.com/office/spreadsheetml/2009/9/main" objectType="Radio" firstButton="1" fmlaLink="'Local Exhaust Ventilation'!$O$6" lockText="1"/>
</file>

<file path=xl/ctrlProps/ctrlProp160.xml><?xml version="1.0" encoding="utf-8"?>
<formControlPr xmlns="http://schemas.microsoft.com/office/spreadsheetml/2009/9/main" objectType="Radio" firstButton="1" fmlaLink="W34" lockText="1"/>
</file>

<file path=xl/ctrlProps/ctrlProp161.xml><?xml version="1.0" encoding="utf-8"?>
<formControlPr xmlns="http://schemas.microsoft.com/office/spreadsheetml/2009/9/main" objectType="Radio" checked="Checked" lockText="1"/>
</file>

<file path=xl/ctrlProps/ctrlProp162.xml><?xml version="1.0" encoding="utf-8"?>
<formControlPr xmlns="http://schemas.microsoft.com/office/spreadsheetml/2009/9/main" objectType="GBox"/>
</file>

<file path=xl/ctrlProps/ctrlProp163.xml><?xml version="1.0" encoding="utf-8"?>
<formControlPr xmlns="http://schemas.microsoft.com/office/spreadsheetml/2009/9/main" objectType="Radio" firstButton="1" fmlaLink="V35" lockText="1"/>
</file>

<file path=xl/ctrlProps/ctrlProp164.xml><?xml version="1.0" encoding="utf-8"?>
<formControlPr xmlns="http://schemas.microsoft.com/office/spreadsheetml/2009/9/main" objectType="Radio" checked="Checked" lockText="1"/>
</file>

<file path=xl/ctrlProps/ctrlProp165.xml><?xml version="1.0" encoding="utf-8"?>
<formControlPr xmlns="http://schemas.microsoft.com/office/spreadsheetml/2009/9/main" objectType="Radio" firstButton="1" fmlaLink="V36" lockText="1"/>
</file>

<file path=xl/ctrlProps/ctrlProp166.xml><?xml version="1.0" encoding="utf-8"?>
<formControlPr xmlns="http://schemas.microsoft.com/office/spreadsheetml/2009/9/main" objectType="Radio" checked="Checked" lockText="1"/>
</file>

<file path=xl/ctrlProps/ctrlProp167.xml><?xml version="1.0" encoding="utf-8"?>
<formControlPr xmlns="http://schemas.microsoft.com/office/spreadsheetml/2009/9/main" objectType="GBox"/>
</file>

<file path=xl/ctrlProps/ctrlProp168.xml><?xml version="1.0" encoding="utf-8"?>
<formControlPr xmlns="http://schemas.microsoft.com/office/spreadsheetml/2009/9/main" objectType="Radio" firstButton="1" fmlaLink="W35" lockText="1"/>
</file>

<file path=xl/ctrlProps/ctrlProp169.xml><?xml version="1.0" encoding="utf-8"?>
<formControlPr xmlns="http://schemas.microsoft.com/office/spreadsheetml/2009/9/main" objectType="Radio" checked="Checked" lockText="1"/>
</file>

<file path=xl/ctrlProps/ctrlProp17.xml><?xml version="1.0" encoding="utf-8"?>
<formControlPr xmlns="http://schemas.microsoft.com/office/spreadsheetml/2009/9/main" objectType="Radio" checked="Checked" lockText="1"/>
</file>

<file path=xl/ctrlProps/ctrlProp170.xml><?xml version="1.0" encoding="utf-8"?>
<formControlPr xmlns="http://schemas.microsoft.com/office/spreadsheetml/2009/9/main" objectType="GBox"/>
</file>

<file path=xl/ctrlProps/ctrlProp171.xml><?xml version="1.0" encoding="utf-8"?>
<formControlPr xmlns="http://schemas.microsoft.com/office/spreadsheetml/2009/9/main" objectType="Radio" firstButton="1" fmlaLink="V44" lockText="1"/>
</file>

<file path=xl/ctrlProps/ctrlProp172.xml><?xml version="1.0" encoding="utf-8"?>
<formControlPr xmlns="http://schemas.microsoft.com/office/spreadsheetml/2009/9/main" objectType="Radio" checked="Checked" lockText="1"/>
</file>

<file path=xl/ctrlProps/ctrlProp173.xml><?xml version="1.0" encoding="utf-8"?>
<formControlPr xmlns="http://schemas.microsoft.com/office/spreadsheetml/2009/9/main" objectType="Radio" firstButton="1" fmlaLink="V45" lockText="1"/>
</file>

<file path=xl/ctrlProps/ctrlProp174.xml><?xml version="1.0" encoding="utf-8"?>
<formControlPr xmlns="http://schemas.microsoft.com/office/spreadsheetml/2009/9/main" objectType="Radio" checked="Checked" lockText="1"/>
</file>

<file path=xl/ctrlProps/ctrlProp175.xml><?xml version="1.0" encoding="utf-8"?>
<formControlPr xmlns="http://schemas.microsoft.com/office/spreadsheetml/2009/9/main" objectType="Radio" firstButton="1" fmlaLink="W44" lockText="1"/>
</file>

<file path=xl/ctrlProps/ctrlProp176.xml><?xml version="1.0" encoding="utf-8"?>
<formControlPr xmlns="http://schemas.microsoft.com/office/spreadsheetml/2009/9/main" objectType="Radio" checked="Checked" lockText="1"/>
</file>

<file path=xl/ctrlProps/ctrlProp177.xml><?xml version="1.0" encoding="utf-8"?>
<formControlPr xmlns="http://schemas.microsoft.com/office/spreadsheetml/2009/9/main" objectType="Radio" firstButton="1" fmlaLink="W45" lockText="1"/>
</file>

<file path=xl/ctrlProps/ctrlProp178.xml><?xml version="1.0" encoding="utf-8"?>
<formControlPr xmlns="http://schemas.microsoft.com/office/spreadsheetml/2009/9/main" objectType="Radio" checked="Checked" lockText="1"/>
</file>

<file path=xl/ctrlProps/ctrlProp179.xml><?xml version="1.0" encoding="utf-8"?>
<formControlPr xmlns="http://schemas.microsoft.com/office/spreadsheetml/2009/9/main" objectType="Radio" firstButton="1" fmlaLink="V54" lockText="1"/>
</file>

<file path=xl/ctrlProps/ctrlProp18.xml><?xml version="1.0" encoding="utf-8"?>
<formControlPr xmlns="http://schemas.microsoft.com/office/spreadsheetml/2009/9/main" objectType="GBox"/>
</file>

<file path=xl/ctrlProps/ctrlProp180.xml><?xml version="1.0" encoding="utf-8"?>
<formControlPr xmlns="http://schemas.microsoft.com/office/spreadsheetml/2009/9/main" objectType="Radio" checked="Checked" lockText="1"/>
</file>

<file path=xl/ctrlProps/ctrlProp181.xml><?xml version="1.0" encoding="utf-8"?>
<formControlPr xmlns="http://schemas.microsoft.com/office/spreadsheetml/2009/9/main" objectType="Radio" firstButton="1" fmlaLink="V55" lockText="1"/>
</file>

<file path=xl/ctrlProps/ctrlProp182.xml><?xml version="1.0" encoding="utf-8"?>
<formControlPr xmlns="http://schemas.microsoft.com/office/spreadsheetml/2009/9/main" objectType="Radio" checked="Checked" lockText="1"/>
</file>

<file path=xl/ctrlProps/ctrlProp183.xml><?xml version="1.0" encoding="utf-8"?>
<formControlPr xmlns="http://schemas.microsoft.com/office/spreadsheetml/2009/9/main" objectType="Radio" firstButton="1" fmlaLink="V56" lockText="1"/>
</file>

<file path=xl/ctrlProps/ctrlProp184.xml><?xml version="1.0" encoding="utf-8"?>
<formControlPr xmlns="http://schemas.microsoft.com/office/spreadsheetml/2009/9/main" objectType="Radio" checked="Checked" lockText="1"/>
</file>

<file path=xl/ctrlProps/ctrlProp185.xml><?xml version="1.0" encoding="utf-8"?>
<formControlPr xmlns="http://schemas.microsoft.com/office/spreadsheetml/2009/9/main" objectType="Radio" firstButton="1" fmlaLink="W54" lockText="1"/>
</file>

<file path=xl/ctrlProps/ctrlProp186.xml><?xml version="1.0" encoding="utf-8"?>
<formControlPr xmlns="http://schemas.microsoft.com/office/spreadsheetml/2009/9/main" objectType="Radio" checked="Checked" lockText="1"/>
</file>

<file path=xl/ctrlProps/ctrlProp187.xml><?xml version="1.0" encoding="utf-8"?>
<formControlPr xmlns="http://schemas.microsoft.com/office/spreadsheetml/2009/9/main" objectType="Radio" firstButton="1" fmlaLink="W55" lockText="1"/>
</file>

<file path=xl/ctrlProps/ctrlProp188.xml><?xml version="1.0" encoding="utf-8"?>
<formControlPr xmlns="http://schemas.microsoft.com/office/spreadsheetml/2009/9/main" objectType="Radio" checked="Checked" lockText="1"/>
</file>

<file path=xl/ctrlProps/ctrlProp189.xml><?xml version="1.0" encoding="utf-8"?>
<formControlPr xmlns="http://schemas.microsoft.com/office/spreadsheetml/2009/9/main" objectType="Radio" firstButton="1" fmlaLink="V66" lockText="1"/>
</file>

<file path=xl/ctrlProps/ctrlProp19.xml><?xml version="1.0" encoding="utf-8"?>
<formControlPr xmlns="http://schemas.microsoft.com/office/spreadsheetml/2009/9/main" objectType="Radio" checked="Checked" firstButton="1" fmlaLink="'Calculations-2016'!$C$6" lockText="1"/>
</file>

<file path=xl/ctrlProps/ctrlProp190.xml><?xml version="1.0" encoding="utf-8"?>
<formControlPr xmlns="http://schemas.microsoft.com/office/spreadsheetml/2009/9/main" objectType="Radio" checked="Checked" lockText="1"/>
</file>

<file path=xl/ctrlProps/ctrlProp191.xml><?xml version="1.0" encoding="utf-8"?>
<formControlPr xmlns="http://schemas.microsoft.com/office/spreadsheetml/2009/9/main" objectType="GBox"/>
</file>

<file path=xl/ctrlProps/ctrlProp192.xml><?xml version="1.0" encoding="utf-8"?>
<formControlPr xmlns="http://schemas.microsoft.com/office/spreadsheetml/2009/9/main" objectType="GBox"/>
</file>

<file path=xl/ctrlProps/ctrlProp193.xml><?xml version="1.0" encoding="utf-8"?>
<formControlPr xmlns="http://schemas.microsoft.com/office/spreadsheetml/2009/9/main" objectType="GBox"/>
</file>

<file path=xl/ctrlProps/ctrlProp194.xml><?xml version="1.0" encoding="utf-8"?>
<formControlPr xmlns="http://schemas.microsoft.com/office/spreadsheetml/2009/9/main" objectType="GBox"/>
</file>

<file path=xl/ctrlProps/ctrlProp195.xml><?xml version="1.0" encoding="utf-8"?>
<formControlPr xmlns="http://schemas.microsoft.com/office/spreadsheetml/2009/9/main" objectType="GBox"/>
</file>

<file path=xl/ctrlProps/ctrlProp196.xml><?xml version="1.0" encoding="utf-8"?>
<formControlPr xmlns="http://schemas.microsoft.com/office/spreadsheetml/2009/9/main" objectType="Radio" firstButton="1" fmlaLink="V46" lockText="1"/>
</file>

<file path=xl/ctrlProps/ctrlProp197.xml><?xml version="1.0" encoding="utf-8"?>
<formControlPr xmlns="http://schemas.microsoft.com/office/spreadsheetml/2009/9/main" objectType="Radio" checked="Checked" lockText="1"/>
</file>

<file path=xl/ctrlProps/ctrlProp198.xml><?xml version="1.0" encoding="utf-8"?>
<formControlPr xmlns="http://schemas.microsoft.com/office/spreadsheetml/2009/9/main" objectType="GBox"/>
</file>

<file path=xl/ctrlProps/ctrlProp199.xml><?xml version="1.0" encoding="utf-8"?>
<formControlPr xmlns="http://schemas.microsoft.com/office/spreadsheetml/2009/9/main" objectType="GBox"/>
</file>

<file path=xl/ctrlProps/ctrlProp2.xml><?xml version="1.0" encoding="utf-8"?>
<formControlPr xmlns="http://schemas.microsoft.com/office/spreadsheetml/2009/9/main" objectType="Radio" firstButton="1" fmlaLink="'Local Exhaust Ventilation'!$I$4" lockText="1"/>
</file>

<file path=xl/ctrlProps/ctrlProp20.xml><?xml version="1.0" encoding="utf-8"?>
<formControlPr xmlns="http://schemas.microsoft.com/office/spreadsheetml/2009/9/main" objectType="Radio" lockText="1"/>
</file>

<file path=xl/ctrlProps/ctrlProp200.xml><?xml version="1.0" encoding="utf-8"?>
<formControlPr xmlns="http://schemas.microsoft.com/office/spreadsheetml/2009/9/main" objectType="GBox"/>
</file>

<file path=xl/ctrlProps/ctrlProp201.xml><?xml version="1.0" encoding="utf-8"?>
<formControlPr xmlns="http://schemas.microsoft.com/office/spreadsheetml/2009/9/main" objectType="GBox"/>
</file>

<file path=xl/ctrlProps/ctrlProp202.xml><?xml version="1.0" encoding="utf-8"?>
<formControlPr xmlns="http://schemas.microsoft.com/office/spreadsheetml/2009/9/main" objectType="GBox"/>
</file>

<file path=xl/ctrlProps/ctrlProp203.xml><?xml version="1.0" encoding="utf-8"?>
<formControlPr xmlns="http://schemas.microsoft.com/office/spreadsheetml/2009/9/main" objectType="Radio" firstButton="1" fmlaLink="W56" lockText="1"/>
</file>

<file path=xl/ctrlProps/ctrlProp204.xml><?xml version="1.0" encoding="utf-8"?>
<formControlPr xmlns="http://schemas.microsoft.com/office/spreadsheetml/2009/9/main" objectType="Radio" checked="Checked" lockText="1"/>
</file>

<file path=xl/ctrlProps/ctrlProp205.xml><?xml version="1.0" encoding="utf-8"?>
<formControlPr xmlns="http://schemas.microsoft.com/office/spreadsheetml/2009/9/main" objectType="GBox"/>
</file>

<file path=xl/ctrlProps/ctrlProp206.xml><?xml version="1.0" encoding="utf-8"?>
<formControlPr xmlns="http://schemas.microsoft.com/office/spreadsheetml/2009/9/main" objectType="GBox"/>
</file>

<file path=xl/ctrlProps/ctrlProp207.xml><?xml version="1.0" encoding="utf-8"?>
<formControlPr xmlns="http://schemas.microsoft.com/office/spreadsheetml/2009/9/main" objectType="Radio" firstButton="1" fmlaLink="W46" lockText="1"/>
</file>

<file path=xl/ctrlProps/ctrlProp208.xml><?xml version="1.0" encoding="utf-8"?>
<formControlPr xmlns="http://schemas.microsoft.com/office/spreadsheetml/2009/9/main" objectType="Radio" checked="Checked" lockText="1"/>
</file>

<file path=xl/ctrlProps/ctrlProp209.xml><?xml version="1.0" encoding="utf-8"?>
<formControlPr xmlns="http://schemas.microsoft.com/office/spreadsheetml/2009/9/main" objectType="GBox"/>
</file>

<file path=xl/ctrlProps/ctrlProp21.xml><?xml version="1.0" encoding="utf-8"?>
<formControlPr xmlns="http://schemas.microsoft.com/office/spreadsheetml/2009/9/main" objectType="GBox"/>
</file>

<file path=xl/ctrlProps/ctrlProp210.xml><?xml version="1.0" encoding="utf-8"?>
<formControlPr xmlns="http://schemas.microsoft.com/office/spreadsheetml/2009/9/main" objectType="Radio" firstButton="1" fmlaLink="W36" lockText="1"/>
</file>

<file path=xl/ctrlProps/ctrlProp211.xml><?xml version="1.0" encoding="utf-8"?>
<formControlPr xmlns="http://schemas.microsoft.com/office/spreadsheetml/2009/9/main" objectType="Radio" checked="Checked" lockText="1"/>
</file>

<file path=xl/ctrlProps/ctrlProp212.xml><?xml version="1.0" encoding="utf-8"?>
<formControlPr xmlns="http://schemas.microsoft.com/office/spreadsheetml/2009/9/main" objectType="GBox"/>
</file>

<file path=xl/ctrlProps/ctrlProp213.xml><?xml version="1.0" encoding="utf-8"?>
<formControlPr xmlns="http://schemas.microsoft.com/office/spreadsheetml/2009/9/main" objectType="GBox"/>
</file>

<file path=xl/ctrlProps/ctrlProp214.xml><?xml version="1.0" encoding="utf-8"?>
<formControlPr xmlns="http://schemas.microsoft.com/office/spreadsheetml/2009/9/main" objectType="List" dx="20" fmlaLink="'Multifamily Calculations'!$C$4" fmlaRange="'Multifamily Calculations'!$C$2:$C$3" sel="2" val="0"/>
</file>

<file path=xl/ctrlProps/ctrlProp215.xml><?xml version="1.0" encoding="utf-8"?>
<formControlPr xmlns="http://schemas.microsoft.com/office/spreadsheetml/2009/9/main" objectType="Radio" firstButton="1" fmlaLink="V74" lockText="1"/>
</file>

<file path=xl/ctrlProps/ctrlProp216.xml><?xml version="1.0" encoding="utf-8"?>
<formControlPr xmlns="http://schemas.microsoft.com/office/spreadsheetml/2009/9/main" objectType="Radio" checked="Checked" lockText="1"/>
</file>

<file path=xl/ctrlProps/ctrlProp217.xml><?xml version="1.0" encoding="utf-8"?>
<formControlPr xmlns="http://schemas.microsoft.com/office/spreadsheetml/2009/9/main" objectType="Radio" firstButton="1" fmlaLink="V75" lockText="1"/>
</file>

<file path=xl/ctrlProps/ctrlProp218.xml><?xml version="1.0" encoding="utf-8"?>
<formControlPr xmlns="http://schemas.microsoft.com/office/spreadsheetml/2009/9/main" objectType="Radio" checked="Checked" lockText="1"/>
</file>

<file path=xl/ctrlProps/ctrlProp219.xml><?xml version="1.0" encoding="utf-8"?>
<formControlPr xmlns="http://schemas.microsoft.com/office/spreadsheetml/2009/9/main" objectType="Radio" firstButton="1" fmlaLink="V76" lockText="1"/>
</file>

<file path=xl/ctrlProps/ctrlProp22.xml><?xml version="1.0" encoding="utf-8"?>
<formControlPr xmlns="http://schemas.microsoft.com/office/spreadsheetml/2009/9/main" objectType="Radio" firstButton="1" fmlaLink="T9" lockText="1"/>
</file>

<file path=xl/ctrlProps/ctrlProp220.xml><?xml version="1.0" encoding="utf-8"?>
<formControlPr xmlns="http://schemas.microsoft.com/office/spreadsheetml/2009/9/main" objectType="Radio" checked="Checked" lockText="1"/>
</file>

<file path=xl/ctrlProps/ctrlProp221.xml><?xml version="1.0" encoding="utf-8"?>
<formControlPr xmlns="http://schemas.microsoft.com/office/spreadsheetml/2009/9/main" objectType="Radio" firstButton="1" fmlaLink="W74" lockText="1"/>
</file>

<file path=xl/ctrlProps/ctrlProp222.xml><?xml version="1.0" encoding="utf-8"?>
<formControlPr xmlns="http://schemas.microsoft.com/office/spreadsheetml/2009/9/main" objectType="Radio" checked="Checked" lockText="1"/>
</file>

<file path=xl/ctrlProps/ctrlProp223.xml><?xml version="1.0" encoding="utf-8"?>
<formControlPr xmlns="http://schemas.microsoft.com/office/spreadsheetml/2009/9/main" objectType="Radio" firstButton="1" fmlaLink="W75" lockText="1"/>
</file>

<file path=xl/ctrlProps/ctrlProp224.xml><?xml version="1.0" encoding="utf-8"?>
<formControlPr xmlns="http://schemas.microsoft.com/office/spreadsheetml/2009/9/main" objectType="Radio" checked="Checked" lockText="1"/>
</file>

<file path=xl/ctrlProps/ctrlProp225.xml><?xml version="1.0" encoding="utf-8"?>
<formControlPr xmlns="http://schemas.microsoft.com/office/spreadsheetml/2009/9/main" objectType="GBox"/>
</file>

<file path=xl/ctrlProps/ctrlProp226.xml><?xml version="1.0" encoding="utf-8"?>
<formControlPr xmlns="http://schemas.microsoft.com/office/spreadsheetml/2009/9/main" objectType="GBox"/>
</file>

<file path=xl/ctrlProps/ctrlProp227.xml><?xml version="1.0" encoding="utf-8"?>
<formControlPr xmlns="http://schemas.microsoft.com/office/spreadsheetml/2009/9/main" objectType="GBox"/>
</file>

<file path=xl/ctrlProps/ctrlProp228.xml><?xml version="1.0" encoding="utf-8"?>
<formControlPr xmlns="http://schemas.microsoft.com/office/spreadsheetml/2009/9/main" objectType="GBox"/>
</file>

<file path=xl/ctrlProps/ctrlProp229.xml><?xml version="1.0" encoding="utf-8"?>
<formControlPr xmlns="http://schemas.microsoft.com/office/spreadsheetml/2009/9/main" objectType="GBox"/>
</file>

<file path=xl/ctrlProps/ctrlProp23.xml><?xml version="1.0" encoding="utf-8"?>
<formControlPr xmlns="http://schemas.microsoft.com/office/spreadsheetml/2009/9/main" objectType="Radio" checked="Checked" lockText="1"/>
</file>

<file path=xl/ctrlProps/ctrlProp230.xml><?xml version="1.0" encoding="utf-8"?>
<formControlPr xmlns="http://schemas.microsoft.com/office/spreadsheetml/2009/9/main" objectType="Radio" firstButton="1" fmlaLink="W76" lockText="1"/>
</file>

<file path=xl/ctrlProps/ctrlProp231.xml><?xml version="1.0" encoding="utf-8"?>
<formControlPr xmlns="http://schemas.microsoft.com/office/spreadsheetml/2009/9/main" objectType="Radio" checked="Checked" lockText="1"/>
</file>

<file path=xl/ctrlProps/ctrlProp232.xml><?xml version="1.0" encoding="utf-8"?>
<formControlPr xmlns="http://schemas.microsoft.com/office/spreadsheetml/2009/9/main" objectType="GBox"/>
</file>

<file path=xl/ctrlProps/ctrlProp233.xml><?xml version="1.0" encoding="utf-8"?>
<formControlPr xmlns="http://schemas.microsoft.com/office/spreadsheetml/2009/9/main" objectType="Radio" firstButton="1" fmlaLink="W65" lockText="1"/>
</file>

<file path=xl/ctrlProps/ctrlProp234.xml><?xml version="1.0" encoding="utf-8"?>
<formControlPr xmlns="http://schemas.microsoft.com/office/spreadsheetml/2009/9/main" objectType="Radio" checked="Checked" lockText="1"/>
</file>

<file path=xl/ctrlProps/ctrlProp235.xml><?xml version="1.0" encoding="utf-8"?>
<formControlPr xmlns="http://schemas.microsoft.com/office/spreadsheetml/2009/9/main" objectType="GBox"/>
</file>

<file path=xl/ctrlProps/ctrlProp236.xml><?xml version="1.0" encoding="utf-8"?>
<formControlPr xmlns="http://schemas.microsoft.com/office/spreadsheetml/2009/9/main" objectType="Radio" firstButton="1" fmlaLink="W64" lockText="1"/>
</file>

<file path=xl/ctrlProps/ctrlProp237.xml><?xml version="1.0" encoding="utf-8"?>
<formControlPr xmlns="http://schemas.microsoft.com/office/spreadsheetml/2009/9/main" objectType="Radio" checked="Checked" lockText="1"/>
</file>

<file path=xl/ctrlProps/ctrlProp238.xml><?xml version="1.0" encoding="utf-8"?>
<formControlPr xmlns="http://schemas.microsoft.com/office/spreadsheetml/2009/9/main" objectType="GBox"/>
</file>

<file path=xl/ctrlProps/ctrlProp239.xml><?xml version="1.0" encoding="utf-8"?>
<formControlPr xmlns="http://schemas.microsoft.com/office/spreadsheetml/2009/9/main" objectType="Radio" firstButton="1" fmlaLink="W66" lockText="1"/>
</file>

<file path=xl/ctrlProps/ctrlProp24.xml><?xml version="1.0" encoding="utf-8"?>
<formControlPr xmlns="http://schemas.microsoft.com/office/spreadsheetml/2009/9/main" objectType="GBox"/>
</file>

<file path=xl/ctrlProps/ctrlProp240.xml><?xml version="1.0" encoding="utf-8"?>
<formControlPr xmlns="http://schemas.microsoft.com/office/spreadsheetml/2009/9/main" objectType="Radio" checked="Checked" lockText="1"/>
</file>

<file path=xl/ctrlProps/ctrlProp241.xml><?xml version="1.0" encoding="utf-8"?>
<formControlPr xmlns="http://schemas.microsoft.com/office/spreadsheetml/2009/9/main" objectType="GBox"/>
</file>

<file path=xl/ctrlProps/ctrlProp242.xml><?xml version="1.0" encoding="utf-8"?>
<formControlPr xmlns="http://schemas.microsoft.com/office/spreadsheetml/2009/9/main" objectType="Radio" firstButton="1" fmlaLink="V64" lockText="1"/>
</file>

<file path=xl/ctrlProps/ctrlProp243.xml><?xml version="1.0" encoding="utf-8"?>
<formControlPr xmlns="http://schemas.microsoft.com/office/spreadsheetml/2009/9/main" objectType="Radio" checked="Checked" lockText="1"/>
</file>

<file path=xl/ctrlProps/ctrlProp244.xml><?xml version="1.0" encoding="utf-8"?>
<formControlPr xmlns="http://schemas.microsoft.com/office/spreadsheetml/2009/9/main" objectType="GBox"/>
</file>

<file path=xl/ctrlProps/ctrlProp245.xml><?xml version="1.0" encoding="utf-8"?>
<formControlPr xmlns="http://schemas.microsoft.com/office/spreadsheetml/2009/9/main" objectType="GBox"/>
</file>

<file path=xl/ctrlProps/ctrlProp246.xml><?xml version="1.0" encoding="utf-8"?>
<formControlPr xmlns="http://schemas.microsoft.com/office/spreadsheetml/2009/9/main" objectType="Radio" firstButton="1" fmlaLink="V65" lockText="1"/>
</file>

<file path=xl/ctrlProps/ctrlProp247.xml><?xml version="1.0" encoding="utf-8"?>
<formControlPr xmlns="http://schemas.microsoft.com/office/spreadsheetml/2009/9/main" objectType="Radio" checked="Checked" lockText="1"/>
</file>

<file path=xl/ctrlProps/ctrlProp248.xml><?xml version="1.0" encoding="utf-8"?>
<formControlPr xmlns="http://schemas.microsoft.com/office/spreadsheetml/2009/9/main" objectType="GBox"/>
</file>

<file path=xl/ctrlProps/ctrlProp249.xml><?xml version="1.0" encoding="utf-8"?>
<formControlPr xmlns="http://schemas.microsoft.com/office/spreadsheetml/2009/9/main" objectType="GBox"/>
</file>

<file path=xl/ctrlProps/ctrlProp25.xml><?xml version="1.0" encoding="utf-8"?>
<formControlPr xmlns="http://schemas.microsoft.com/office/spreadsheetml/2009/9/main" objectType="Radio" firstButton="1" fmlaLink="T10" lockText="1"/>
</file>

<file path=xl/ctrlProps/ctrlProp26.xml><?xml version="1.0" encoding="utf-8"?>
<formControlPr xmlns="http://schemas.microsoft.com/office/spreadsheetml/2009/9/main" objectType="Radio" checked="Checked" lockText="1"/>
</file>

<file path=xl/ctrlProps/ctrlProp27.xml><?xml version="1.0" encoding="utf-8"?>
<formControlPr xmlns="http://schemas.microsoft.com/office/spreadsheetml/2009/9/main" objectType="Radio" firstButton="1" fmlaLink="T11" lockText="1"/>
</file>

<file path=xl/ctrlProps/ctrlProp28.xml><?xml version="1.0" encoding="utf-8"?>
<formControlPr xmlns="http://schemas.microsoft.com/office/spreadsheetml/2009/9/main" objectType="Radio" checked="Checked" lockText="1"/>
</file>

<file path=xl/ctrlProps/ctrlProp29.xml><?xml version="1.0" encoding="utf-8"?>
<formControlPr xmlns="http://schemas.microsoft.com/office/spreadsheetml/2009/9/main" objectType="Radio" firstButton="1" fmlaLink="T12" lockText="1"/>
</file>

<file path=xl/ctrlProps/ctrlProp3.xml><?xml version="1.0" encoding="utf-8"?>
<formControlPr xmlns="http://schemas.microsoft.com/office/spreadsheetml/2009/9/main" objectType="Radio" checked="Checked" lockText="1"/>
</file>

<file path=xl/ctrlProps/ctrlProp30.xml><?xml version="1.0" encoding="utf-8"?>
<formControlPr xmlns="http://schemas.microsoft.com/office/spreadsheetml/2009/9/main" objectType="Radio" checked="Checked" lockText="1"/>
</file>

<file path=xl/ctrlProps/ctrlProp31.xml><?xml version="1.0" encoding="utf-8"?>
<formControlPr xmlns="http://schemas.microsoft.com/office/spreadsheetml/2009/9/main" objectType="Radio" firstButton="1" fmlaLink="T13" lockText="1"/>
</file>

<file path=xl/ctrlProps/ctrlProp32.xml><?xml version="1.0" encoding="utf-8"?>
<formControlPr xmlns="http://schemas.microsoft.com/office/spreadsheetml/2009/9/main" objectType="Radio" checked="Checked" lockText="1"/>
</file>

<file path=xl/ctrlProps/ctrlProp33.xml><?xml version="1.0" encoding="utf-8"?>
<formControlPr xmlns="http://schemas.microsoft.com/office/spreadsheetml/2009/9/main" objectType="Radio" firstButton="1" fmlaLink="T14" lockText="1"/>
</file>

<file path=xl/ctrlProps/ctrlProp34.xml><?xml version="1.0" encoding="utf-8"?>
<formControlPr xmlns="http://schemas.microsoft.com/office/spreadsheetml/2009/9/main" objectType="Radio" checked="Checked" lockText="1"/>
</file>

<file path=xl/ctrlProps/ctrlProp35.xml><?xml version="1.0" encoding="utf-8"?>
<formControlPr xmlns="http://schemas.microsoft.com/office/spreadsheetml/2009/9/main" objectType="Radio" firstButton="1" fmlaLink="T15" lockText="1"/>
</file>

<file path=xl/ctrlProps/ctrlProp36.xml><?xml version="1.0" encoding="utf-8"?>
<formControlPr xmlns="http://schemas.microsoft.com/office/spreadsheetml/2009/9/main" objectType="Radio" checked="Checked" lockText="1"/>
</file>

<file path=xl/ctrlProps/ctrlProp37.xml><?xml version="1.0" encoding="utf-8"?>
<formControlPr xmlns="http://schemas.microsoft.com/office/spreadsheetml/2009/9/main" objectType="Radio" firstButton="1" fmlaLink="T16" lockText="1"/>
</file>

<file path=xl/ctrlProps/ctrlProp38.xml><?xml version="1.0" encoding="utf-8"?>
<formControlPr xmlns="http://schemas.microsoft.com/office/spreadsheetml/2009/9/main" objectType="Radio" checked="Checked" lockText="1"/>
</file>

<file path=xl/ctrlProps/ctrlProp39.xml><?xml version="1.0" encoding="utf-8"?>
<formControlPr xmlns="http://schemas.microsoft.com/office/spreadsheetml/2009/9/main" objectType="Radio" firstButton="1" fmlaLink="T17" lockText="1"/>
</file>

<file path=xl/ctrlProps/ctrlProp4.xml><?xml version="1.0" encoding="utf-8"?>
<formControlPr xmlns="http://schemas.microsoft.com/office/spreadsheetml/2009/9/main" objectType="Radio" firstButton="1" fmlaLink="'Local Exhaust Ventilation'!$I$5" lockText="1"/>
</file>

<file path=xl/ctrlProps/ctrlProp40.xml><?xml version="1.0" encoding="utf-8"?>
<formControlPr xmlns="http://schemas.microsoft.com/office/spreadsheetml/2009/9/main" objectType="Radio" checked="Checked" lockText="1"/>
</file>

<file path=xl/ctrlProps/ctrlProp41.xml><?xml version="1.0" encoding="utf-8"?>
<formControlPr xmlns="http://schemas.microsoft.com/office/spreadsheetml/2009/9/main" objectType="Radio" firstButton="1" fmlaLink="T18" lockText="1"/>
</file>

<file path=xl/ctrlProps/ctrlProp42.xml><?xml version="1.0" encoding="utf-8"?>
<formControlPr xmlns="http://schemas.microsoft.com/office/spreadsheetml/2009/9/main" objectType="Radio" checked="Checked" lockText="1"/>
</file>

<file path=xl/ctrlProps/ctrlProp43.xml><?xml version="1.0" encoding="utf-8"?>
<formControlPr xmlns="http://schemas.microsoft.com/office/spreadsheetml/2009/9/main" objectType="Radio" firstButton="1" fmlaLink="T19" lockText="1"/>
</file>

<file path=xl/ctrlProps/ctrlProp44.xml><?xml version="1.0" encoding="utf-8"?>
<formControlPr xmlns="http://schemas.microsoft.com/office/spreadsheetml/2009/9/main" objectType="Radio" checked="Checked" lockText="1"/>
</file>

<file path=xl/ctrlProps/ctrlProp45.xml><?xml version="1.0" encoding="utf-8"?>
<formControlPr xmlns="http://schemas.microsoft.com/office/spreadsheetml/2009/9/main" objectType="Radio" firstButton="1" fmlaLink="T20" lockText="1"/>
</file>

<file path=xl/ctrlProps/ctrlProp46.xml><?xml version="1.0" encoding="utf-8"?>
<formControlPr xmlns="http://schemas.microsoft.com/office/spreadsheetml/2009/9/main" objectType="Radio" checked="Checked" lockText="1"/>
</file>

<file path=xl/ctrlProps/ctrlProp47.xml><?xml version="1.0" encoding="utf-8"?>
<formControlPr xmlns="http://schemas.microsoft.com/office/spreadsheetml/2009/9/main" objectType="Radio" firstButton="1" fmlaLink="T21" lockText="1"/>
</file>

<file path=xl/ctrlProps/ctrlProp48.xml><?xml version="1.0" encoding="utf-8"?>
<formControlPr xmlns="http://schemas.microsoft.com/office/spreadsheetml/2009/9/main" objectType="Radio" checked="Checked" lockText="1"/>
</file>

<file path=xl/ctrlProps/ctrlProp49.xml><?xml version="1.0" encoding="utf-8"?>
<formControlPr xmlns="http://schemas.microsoft.com/office/spreadsheetml/2009/9/main" objectType="Radio" firstButton="1" fmlaLink="T22" lockText="1"/>
</file>

<file path=xl/ctrlProps/ctrlProp5.xml><?xml version="1.0" encoding="utf-8"?>
<formControlPr xmlns="http://schemas.microsoft.com/office/spreadsheetml/2009/9/main" objectType="Radio" checked="Checked" lockText="1"/>
</file>

<file path=xl/ctrlProps/ctrlProp50.xml><?xml version="1.0" encoding="utf-8"?>
<formControlPr xmlns="http://schemas.microsoft.com/office/spreadsheetml/2009/9/main" objectType="Radio" checked="Checked" lockText="1"/>
</file>

<file path=xl/ctrlProps/ctrlProp51.xml><?xml version="1.0" encoding="utf-8"?>
<formControlPr xmlns="http://schemas.microsoft.com/office/spreadsheetml/2009/9/main" objectType="Radio" firstButton="1" fmlaLink="T23" lockText="1"/>
</file>

<file path=xl/ctrlProps/ctrlProp52.xml><?xml version="1.0" encoding="utf-8"?>
<formControlPr xmlns="http://schemas.microsoft.com/office/spreadsheetml/2009/9/main" objectType="Radio" checked="Checked" lockText="1"/>
</file>

<file path=xl/ctrlProps/ctrlProp53.xml><?xml version="1.0" encoding="utf-8"?>
<formControlPr xmlns="http://schemas.microsoft.com/office/spreadsheetml/2009/9/main" objectType="Radio" firstButton="1" fmlaLink="U9" lockText="1"/>
</file>

<file path=xl/ctrlProps/ctrlProp54.xml><?xml version="1.0" encoding="utf-8"?>
<formControlPr xmlns="http://schemas.microsoft.com/office/spreadsheetml/2009/9/main" objectType="Radio" checked="Checked" lockText="1"/>
</file>

<file path=xl/ctrlProps/ctrlProp55.xml><?xml version="1.0" encoding="utf-8"?>
<formControlPr xmlns="http://schemas.microsoft.com/office/spreadsheetml/2009/9/main" objectType="Radio" firstButton="1" fmlaLink="U10" lockText="1"/>
</file>

<file path=xl/ctrlProps/ctrlProp56.xml><?xml version="1.0" encoding="utf-8"?>
<formControlPr xmlns="http://schemas.microsoft.com/office/spreadsheetml/2009/9/main" objectType="Radio" checked="Checked" lockText="1"/>
</file>

<file path=xl/ctrlProps/ctrlProp57.xml><?xml version="1.0" encoding="utf-8"?>
<formControlPr xmlns="http://schemas.microsoft.com/office/spreadsheetml/2009/9/main" objectType="Radio" firstButton="1" fmlaLink="U11" lockText="1"/>
</file>

<file path=xl/ctrlProps/ctrlProp58.xml><?xml version="1.0" encoding="utf-8"?>
<formControlPr xmlns="http://schemas.microsoft.com/office/spreadsheetml/2009/9/main" objectType="Radio" checked="Checked" lockText="1"/>
</file>

<file path=xl/ctrlProps/ctrlProp59.xml><?xml version="1.0" encoding="utf-8"?>
<formControlPr xmlns="http://schemas.microsoft.com/office/spreadsheetml/2009/9/main" objectType="Radio" firstButton="1" fmlaLink="U12" lockText="1"/>
</file>

<file path=xl/ctrlProps/ctrlProp6.xml><?xml version="1.0" encoding="utf-8"?>
<formControlPr xmlns="http://schemas.microsoft.com/office/spreadsheetml/2009/9/main" objectType="GBox"/>
</file>

<file path=xl/ctrlProps/ctrlProp60.xml><?xml version="1.0" encoding="utf-8"?>
<formControlPr xmlns="http://schemas.microsoft.com/office/spreadsheetml/2009/9/main" objectType="Radio" checked="Checked" lockText="1"/>
</file>

<file path=xl/ctrlProps/ctrlProp61.xml><?xml version="1.0" encoding="utf-8"?>
<formControlPr xmlns="http://schemas.microsoft.com/office/spreadsheetml/2009/9/main" objectType="Radio" firstButton="1" fmlaLink="U13" lockText="1"/>
</file>

<file path=xl/ctrlProps/ctrlProp62.xml><?xml version="1.0" encoding="utf-8"?>
<formControlPr xmlns="http://schemas.microsoft.com/office/spreadsheetml/2009/9/main" objectType="Radio" checked="Checked" lockText="1"/>
</file>

<file path=xl/ctrlProps/ctrlProp63.xml><?xml version="1.0" encoding="utf-8"?>
<formControlPr xmlns="http://schemas.microsoft.com/office/spreadsheetml/2009/9/main" objectType="Radio" firstButton="1" fmlaLink="U14" lockText="1"/>
</file>

<file path=xl/ctrlProps/ctrlProp64.xml><?xml version="1.0" encoding="utf-8"?>
<formControlPr xmlns="http://schemas.microsoft.com/office/spreadsheetml/2009/9/main" objectType="Radio" checked="Checked" lockText="1"/>
</file>

<file path=xl/ctrlProps/ctrlProp65.xml><?xml version="1.0" encoding="utf-8"?>
<formControlPr xmlns="http://schemas.microsoft.com/office/spreadsheetml/2009/9/main" objectType="Radio" firstButton="1" fmlaLink="U15" lockText="1"/>
</file>

<file path=xl/ctrlProps/ctrlProp66.xml><?xml version="1.0" encoding="utf-8"?>
<formControlPr xmlns="http://schemas.microsoft.com/office/spreadsheetml/2009/9/main" objectType="Radio" checked="Checked" lockText="1"/>
</file>

<file path=xl/ctrlProps/ctrlProp67.xml><?xml version="1.0" encoding="utf-8"?>
<formControlPr xmlns="http://schemas.microsoft.com/office/spreadsheetml/2009/9/main" objectType="Radio" firstButton="1" fmlaLink="U16" lockText="1"/>
</file>

<file path=xl/ctrlProps/ctrlProp68.xml><?xml version="1.0" encoding="utf-8"?>
<formControlPr xmlns="http://schemas.microsoft.com/office/spreadsheetml/2009/9/main" objectType="Radio" checked="Checked" lockText="1"/>
</file>

<file path=xl/ctrlProps/ctrlProp69.xml><?xml version="1.0" encoding="utf-8"?>
<formControlPr xmlns="http://schemas.microsoft.com/office/spreadsheetml/2009/9/main" objectType="Radio" firstButton="1" fmlaLink="U17" lockText="1"/>
</file>

<file path=xl/ctrlProps/ctrlProp7.xml><?xml version="1.0" encoding="utf-8"?>
<formControlPr xmlns="http://schemas.microsoft.com/office/spreadsheetml/2009/9/main" objectType="GBox"/>
</file>

<file path=xl/ctrlProps/ctrlProp70.xml><?xml version="1.0" encoding="utf-8"?>
<formControlPr xmlns="http://schemas.microsoft.com/office/spreadsheetml/2009/9/main" objectType="Radio" checked="Checked" lockText="1"/>
</file>

<file path=xl/ctrlProps/ctrlProp71.xml><?xml version="1.0" encoding="utf-8"?>
<formControlPr xmlns="http://schemas.microsoft.com/office/spreadsheetml/2009/9/main" objectType="Radio" firstButton="1" fmlaLink="U18" lockText="1"/>
</file>

<file path=xl/ctrlProps/ctrlProp72.xml><?xml version="1.0" encoding="utf-8"?>
<formControlPr xmlns="http://schemas.microsoft.com/office/spreadsheetml/2009/9/main" objectType="Radio" checked="Checked" lockText="1"/>
</file>

<file path=xl/ctrlProps/ctrlProp73.xml><?xml version="1.0" encoding="utf-8"?>
<formControlPr xmlns="http://schemas.microsoft.com/office/spreadsheetml/2009/9/main" objectType="Radio" firstButton="1" fmlaLink="U19" lockText="1"/>
</file>

<file path=xl/ctrlProps/ctrlProp74.xml><?xml version="1.0" encoding="utf-8"?>
<formControlPr xmlns="http://schemas.microsoft.com/office/spreadsheetml/2009/9/main" objectType="Radio" checked="Checked" lockText="1"/>
</file>

<file path=xl/ctrlProps/ctrlProp75.xml><?xml version="1.0" encoding="utf-8"?>
<formControlPr xmlns="http://schemas.microsoft.com/office/spreadsheetml/2009/9/main" objectType="Radio" firstButton="1" fmlaLink="U20" lockText="1"/>
</file>

<file path=xl/ctrlProps/ctrlProp76.xml><?xml version="1.0" encoding="utf-8"?>
<formControlPr xmlns="http://schemas.microsoft.com/office/spreadsheetml/2009/9/main" objectType="Radio" checked="Checked" lockText="1"/>
</file>

<file path=xl/ctrlProps/ctrlProp77.xml><?xml version="1.0" encoding="utf-8"?>
<formControlPr xmlns="http://schemas.microsoft.com/office/spreadsheetml/2009/9/main" objectType="Radio" firstButton="1" fmlaLink="U21" lockText="1"/>
</file>

<file path=xl/ctrlProps/ctrlProp78.xml><?xml version="1.0" encoding="utf-8"?>
<formControlPr xmlns="http://schemas.microsoft.com/office/spreadsheetml/2009/9/main" objectType="Radio" checked="Checked" lockText="1"/>
</file>

<file path=xl/ctrlProps/ctrlProp79.xml><?xml version="1.0" encoding="utf-8"?>
<formControlPr xmlns="http://schemas.microsoft.com/office/spreadsheetml/2009/9/main" objectType="Radio" firstButton="1" fmlaLink="U22" lockText="1"/>
</file>

<file path=xl/ctrlProps/ctrlProp8.xml><?xml version="1.0" encoding="utf-8"?>
<formControlPr xmlns="http://schemas.microsoft.com/office/spreadsheetml/2009/9/main" objectType="Radio" firstButton="1" fmlaLink="'Local Exhaust Ventilation'!$I$6" lockText="1"/>
</file>

<file path=xl/ctrlProps/ctrlProp80.xml><?xml version="1.0" encoding="utf-8"?>
<formControlPr xmlns="http://schemas.microsoft.com/office/spreadsheetml/2009/9/main" objectType="Radio" checked="Checked" lockText="1"/>
</file>

<file path=xl/ctrlProps/ctrlProp81.xml><?xml version="1.0" encoding="utf-8"?>
<formControlPr xmlns="http://schemas.microsoft.com/office/spreadsheetml/2009/9/main" objectType="Radio" firstButton="1" fmlaLink="U23" lockText="1"/>
</file>

<file path=xl/ctrlProps/ctrlProp82.xml><?xml version="1.0" encoding="utf-8"?>
<formControlPr xmlns="http://schemas.microsoft.com/office/spreadsheetml/2009/9/main" objectType="Radio" checked="Checked" lockText="1"/>
</file>

<file path=xl/ctrlProps/ctrlProp83.xml><?xml version="1.0" encoding="utf-8"?>
<formControlPr xmlns="http://schemas.microsoft.com/office/spreadsheetml/2009/9/main" objectType="Radio" firstButton="1" fmlaLink="V9" lockText="1"/>
</file>

<file path=xl/ctrlProps/ctrlProp84.xml><?xml version="1.0" encoding="utf-8"?>
<formControlPr xmlns="http://schemas.microsoft.com/office/spreadsheetml/2009/9/main" objectType="Radio" checked="Checked" lockText="1"/>
</file>

<file path=xl/ctrlProps/ctrlProp85.xml><?xml version="1.0" encoding="utf-8"?>
<formControlPr xmlns="http://schemas.microsoft.com/office/spreadsheetml/2009/9/main" objectType="Radio" firstButton="1" fmlaLink="V10" lockText="1"/>
</file>

<file path=xl/ctrlProps/ctrlProp86.xml><?xml version="1.0" encoding="utf-8"?>
<formControlPr xmlns="http://schemas.microsoft.com/office/spreadsheetml/2009/9/main" objectType="Radio" checked="Checked" lockText="1"/>
</file>

<file path=xl/ctrlProps/ctrlProp87.xml><?xml version="1.0" encoding="utf-8"?>
<formControlPr xmlns="http://schemas.microsoft.com/office/spreadsheetml/2009/9/main" objectType="Radio" firstButton="1" fmlaLink="V11" lockText="1"/>
</file>

<file path=xl/ctrlProps/ctrlProp88.xml><?xml version="1.0" encoding="utf-8"?>
<formControlPr xmlns="http://schemas.microsoft.com/office/spreadsheetml/2009/9/main" objectType="Radio" checked="Checked" lockText="1"/>
</file>

<file path=xl/ctrlProps/ctrlProp89.xml><?xml version="1.0" encoding="utf-8"?>
<formControlPr xmlns="http://schemas.microsoft.com/office/spreadsheetml/2009/9/main" objectType="Radio" firstButton="1" fmlaLink="V12" lockText="1"/>
</file>

<file path=xl/ctrlProps/ctrlProp9.xml><?xml version="1.0" encoding="utf-8"?>
<formControlPr xmlns="http://schemas.microsoft.com/office/spreadsheetml/2009/9/main" objectType="Radio" checked="Checked" lockText="1"/>
</file>

<file path=xl/ctrlProps/ctrlProp90.xml><?xml version="1.0" encoding="utf-8"?>
<formControlPr xmlns="http://schemas.microsoft.com/office/spreadsheetml/2009/9/main" objectType="Radio" checked="Checked" lockText="1"/>
</file>

<file path=xl/ctrlProps/ctrlProp91.xml><?xml version="1.0" encoding="utf-8"?>
<formControlPr xmlns="http://schemas.microsoft.com/office/spreadsheetml/2009/9/main" objectType="Radio" firstButton="1" fmlaLink="V13" lockText="1"/>
</file>

<file path=xl/ctrlProps/ctrlProp92.xml><?xml version="1.0" encoding="utf-8"?>
<formControlPr xmlns="http://schemas.microsoft.com/office/spreadsheetml/2009/9/main" objectType="Radio" checked="Checked" lockText="1"/>
</file>

<file path=xl/ctrlProps/ctrlProp93.xml><?xml version="1.0" encoding="utf-8"?>
<formControlPr xmlns="http://schemas.microsoft.com/office/spreadsheetml/2009/9/main" objectType="Radio" firstButton="1" fmlaLink="V14" lockText="1"/>
</file>

<file path=xl/ctrlProps/ctrlProp94.xml><?xml version="1.0" encoding="utf-8"?>
<formControlPr xmlns="http://schemas.microsoft.com/office/spreadsheetml/2009/9/main" objectType="Radio" checked="Checked" lockText="1"/>
</file>

<file path=xl/ctrlProps/ctrlProp95.xml><?xml version="1.0" encoding="utf-8"?>
<formControlPr xmlns="http://schemas.microsoft.com/office/spreadsheetml/2009/9/main" objectType="Radio" firstButton="1" fmlaLink="V15" lockText="1"/>
</file>

<file path=xl/ctrlProps/ctrlProp96.xml><?xml version="1.0" encoding="utf-8"?>
<formControlPr xmlns="http://schemas.microsoft.com/office/spreadsheetml/2009/9/main" objectType="Radio" checked="Checked" lockText="1"/>
</file>

<file path=xl/ctrlProps/ctrlProp97.xml><?xml version="1.0" encoding="utf-8"?>
<formControlPr xmlns="http://schemas.microsoft.com/office/spreadsheetml/2009/9/main" objectType="Radio" firstButton="1" fmlaLink="V16" lockText="1"/>
</file>

<file path=xl/ctrlProps/ctrlProp98.xml><?xml version="1.0" encoding="utf-8"?>
<formControlPr xmlns="http://schemas.microsoft.com/office/spreadsheetml/2009/9/main" objectType="Radio" checked="Checked" lockText="1"/>
</file>

<file path=xl/ctrlProps/ctrlProp99.xml><?xml version="1.0" encoding="utf-8"?>
<formControlPr xmlns="http://schemas.microsoft.com/office/spreadsheetml/2009/9/main" objectType="Radio" firstButton="1" fmlaLink="V17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8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1</xdr:row>
      <xdr:rowOff>228600</xdr:rowOff>
    </xdr:from>
    <xdr:to>
      <xdr:col>9</xdr:col>
      <xdr:colOff>1064559</xdr:colOff>
      <xdr:row>3</xdr:row>
      <xdr:rowOff>295275</xdr:rowOff>
    </xdr:to>
    <xdr:pic>
      <xdr:nvPicPr>
        <xdr:cNvPr id="1085" name="Picture 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304800"/>
          <a:ext cx="56959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</xdr:row>
      <xdr:rowOff>38100</xdr:rowOff>
    </xdr:from>
    <xdr:to>
      <xdr:col>3</xdr:col>
      <xdr:colOff>180975</xdr:colOff>
      <xdr:row>3</xdr:row>
      <xdr:rowOff>285750</xdr:rowOff>
    </xdr:to>
    <xdr:pic>
      <xdr:nvPicPr>
        <xdr:cNvPr id="1086" name="Picture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14300"/>
          <a:ext cx="17430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104775</xdr:colOff>
      <xdr:row>1</xdr:row>
      <xdr:rowOff>285750</xdr:rowOff>
    </xdr:from>
    <xdr:to>
      <xdr:col>13</xdr:col>
      <xdr:colOff>400050</xdr:colOff>
      <xdr:row>3</xdr:row>
      <xdr:rowOff>314325</xdr:rowOff>
    </xdr:to>
    <xdr:pic>
      <xdr:nvPicPr>
        <xdr:cNvPr id="1087" name="Picture 12" descr="http://www.iremnyc.org/irem/FileContents.phx?fileid=7a3ddc82-23d7-4bd4-a1bc-3ef19df7779d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361950"/>
          <a:ext cx="20669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1590675</xdr:colOff>
          <xdr:row>34</xdr:row>
          <xdr:rowOff>9525</xdr:rowOff>
        </xdr:from>
        <xdr:to>
          <xdr:col>5</xdr:col>
          <xdr:colOff>276225</xdr:colOff>
          <xdr:row>34</xdr:row>
          <xdr:rowOff>266700</xdr:rowOff>
        </xdr:to>
        <xdr:sp macro="" textlink="">
          <xdr:nvSpPr>
            <xdr:cNvPr id="1122" name="Group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34</xdr:row>
          <xdr:rowOff>38100</xdr:rowOff>
        </xdr:from>
        <xdr:to>
          <xdr:col>4</xdr:col>
          <xdr:colOff>238125</xdr:colOff>
          <xdr:row>34</xdr:row>
          <xdr:rowOff>257175</xdr:rowOff>
        </xdr:to>
        <xdr:sp macro="" textlink="">
          <xdr:nvSpPr>
            <xdr:cNvPr id="1123" name="Option Button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34</xdr:row>
          <xdr:rowOff>28575</xdr:rowOff>
        </xdr:from>
        <xdr:to>
          <xdr:col>5</xdr:col>
          <xdr:colOff>257175</xdr:colOff>
          <xdr:row>34</xdr:row>
          <xdr:rowOff>247650</xdr:rowOff>
        </xdr:to>
        <xdr:sp macro="" textlink="">
          <xdr:nvSpPr>
            <xdr:cNvPr id="1127" name="Option Button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35</xdr:row>
          <xdr:rowOff>38100</xdr:rowOff>
        </xdr:from>
        <xdr:to>
          <xdr:col>4</xdr:col>
          <xdr:colOff>238125</xdr:colOff>
          <xdr:row>35</xdr:row>
          <xdr:rowOff>257175</xdr:rowOff>
        </xdr:to>
        <xdr:sp macro="" textlink="">
          <xdr:nvSpPr>
            <xdr:cNvPr id="1136" name="Option Button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35</xdr:row>
          <xdr:rowOff>38100</xdr:rowOff>
        </xdr:from>
        <xdr:to>
          <xdr:col>5</xdr:col>
          <xdr:colOff>266700</xdr:colOff>
          <xdr:row>35</xdr:row>
          <xdr:rowOff>257175</xdr:rowOff>
        </xdr:to>
        <xdr:sp macro="" textlink="">
          <xdr:nvSpPr>
            <xdr:cNvPr id="1138" name="Option Button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1581150</xdr:colOff>
          <xdr:row>35</xdr:row>
          <xdr:rowOff>19050</xdr:rowOff>
        </xdr:from>
        <xdr:to>
          <xdr:col>5</xdr:col>
          <xdr:colOff>276225</xdr:colOff>
          <xdr:row>35</xdr:row>
          <xdr:rowOff>276225</xdr:rowOff>
        </xdr:to>
        <xdr:sp macro="" textlink="">
          <xdr:nvSpPr>
            <xdr:cNvPr id="1143" name="Group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1590675</xdr:colOff>
          <xdr:row>36</xdr:row>
          <xdr:rowOff>28575</xdr:rowOff>
        </xdr:from>
        <xdr:to>
          <xdr:col>5</xdr:col>
          <xdr:colOff>285750</xdr:colOff>
          <xdr:row>36</xdr:row>
          <xdr:rowOff>285750</xdr:rowOff>
        </xdr:to>
        <xdr:sp macro="" textlink="">
          <xdr:nvSpPr>
            <xdr:cNvPr id="1144" name="Group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36</xdr:row>
          <xdr:rowOff>57150</xdr:rowOff>
        </xdr:from>
        <xdr:to>
          <xdr:col>4</xdr:col>
          <xdr:colOff>238125</xdr:colOff>
          <xdr:row>36</xdr:row>
          <xdr:rowOff>276225</xdr:rowOff>
        </xdr:to>
        <xdr:sp macro="" textlink="">
          <xdr:nvSpPr>
            <xdr:cNvPr id="1145" name="Option Button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36</xdr:row>
          <xdr:rowOff>47625</xdr:rowOff>
        </xdr:from>
        <xdr:to>
          <xdr:col>5</xdr:col>
          <xdr:colOff>266700</xdr:colOff>
          <xdr:row>36</xdr:row>
          <xdr:rowOff>266700</xdr:rowOff>
        </xdr:to>
        <xdr:sp macro="" textlink="">
          <xdr:nvSpPr>
            <xdr:cNvPr id="1146" name="Option Button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34</xdr:row>
          <xdr:rowOff>57150</xdr:rowOff>
        </xdr:from>
        <xdr:to>
          <xdr:col>10</xdr:col>
          <xdr:colOff>361950</xdr:colOff>
          <xdr:row>34</xdr:row>
          <xdr:rowOff>276225</xdr:rowOff>
        </xdr:to>
        <xdr:sp macro="" textlink="">
          <xdr:nvSpPr>
            <xdr:cNvPr id="1179" name="Option Button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371475</xdr:colOff>
          <xdr:row>34</xdr:row>
          <xdr:rowOff>47625</xdr:rowOff>
        </xdr:from>
        <xdr:to>
          <xdr:col>10</xdr:col>
          <xdr:colOff>590550</xdr:colOff>
          <xdr:row>34</xdr:row>
          <xdr:rowOff>266700</xdr:rowOff>
        </xdr:to>
        <xdr:sp macro="" textlink="">
          <xdr:nvSpPr>
            <xdr:cNvPr id="1180" name="Option Button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34</xdr:row>
          <xdr:rowOff>0</xdr:rowOff>
        </xdr:from>
        <xdr:to>
          <xdr:col>11</xdr:col>
          <xdr:colOff>9525</xdr:colOff>
          <xdr:row>35</xdr:row>
          <xdr:rowOff>0</xdr:rowOff>
        </xdr:to>
        <xdr:sp macro="" textlink="">
          <xdr:nvSpPr>
            <xdr:cNvPr id="1181" name="Group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35</xdr:row>
          <xdr:rowOff>76200</xdr:rowOff>
        </xdr:from>
        <xdr:to>
          <xdr:col>10</xdr:col>
          <xdr:colOff>371475</xdr:colOff>
          <xdr:row>36</xdr:row>
          <xdr:rowOff>0</xdr:rowOff>
        </xdr:to>
        <xdr:sp macro="" textlink="">
          <xdr:nvSpPr>
            <xdr:cNvPr id="1189" name="Option Button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371475</xdr:colOff>
          <xdr:row>35</xdr:row>
          <xdr:rowOff>76200</xdr:rowOff>
        </xdr:from>
        <xdr:to>
          <xdr:col>10</xdr:col>
          <xdr:colOff>619125</xdr:colOff>
          <xdr:row>36</xdr:row>
          <xdr:rowOff>0</xdr:rowOff>
        </xdr:to>
        <xdr:sp macro="" textlink="">
          <xdr:nvSpPr>
            <xdr:cNvPr id="1190" name="Option Button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35</xdr:row>
          <xdr:rowOff>38100</xdr:rowOff>
        </xdr:from>
        <xdr:to>
          <xdr:col>11</xdr:col>
          <xdr:colOff>0</xdr:colOff>
          <xdr:row>36</xdr:row>
          <xdr:rowOff>9525</xdr:rowOff>
        </xdr:to>
        <xdr:sp macro="" textlink="">
          <xdr:nvSpPr>
            <xdr:cNvPr id="1191" name="Group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36</xdr:row>
          <xdr:rowOff>76200</xdr:rowOff>
        </xdr:from>
        <xdr:to>
          <xdr:col>10</xdr:col>
          <xdr:colOff>371475</xdr:colOff>
          <xdr:row>37</xdr:row>
          <xdr:rowOff>0</xdr:rowOff>
        </xdr:to>
        <xdr:sp macro="" textlink="">
          <xdr:nvSpPr>
            <xdr:cNvPr id="1192" name="Option Button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36</xdr:row>
          <xdr:rowOff>85725</xdr:rowOff>
        </xdr:from>
        <xdr:to>
          <xdr:col>10</xdr:col>
          <xdr:colOff>609600</xdr:colOff>
          <xdr:row>37</xdr:row>
          <xdr:rowOff>0</xdr:rowOff>
        </xdr:to>
        <xdr:sp macro="" textlink="">
          <xdr:nvSpPr>
            <xdr:cNvPr id="1193" name="Option Button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36</xdr:row>
          <xdr:rowOff>47625</xdr:rowOff>
        </xdr:from>
        <xdr:to>
          <xdr:col>11</xdr:col>
          <xdr:colOff>0</xdr:colOff>
          <xdr:row>37</xdr:row>
          <xdr:rowOff>9525</xdr:rowOff>
        </xdr:to>
        <xdr:sp macro="" textlink="">
          <xdr:nvSpPr>
            <xdr:cNvPr id="1198" name="Group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52</xdr:row>
          <xdr:rowOff>228600</xdr:rowOff>
        </xdr:from>
        <xdr:to>
          <xdr:col>3</xdr:col>
          <xdr:colOff>771525</xdr:colOff>
          <xdr:row>55</xdr:row>
          <xdr:rowOff>0</xdr:rowOff>
        </xdr:to>
        <xdr:sp macro="" textlink="">
          <xdr:nvSpPr>
            <xdr:cNvPr id="1205" name="Option Butto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828675</xdr:colOff>
          <xdr:row>52</xdr:row>
          <xdr:rowOff>228600</xdr:rowOff>
        </xdr:from>
        <xdr:to>
          <xdr:col>3</xdr:col>
          <xdr:colOff>1066800</xdr:colOff>
          <xdr:row>55</xdr:row>
          <xdr:rowOff>19050</xdr:rowOff>
        </xdr:to>
        <xdr:sp macro="" textlink="">
          <xdr:nvSpPr>
            <xdr:cNvPr id="1206" name="Option Button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533400</xdr:colOff>
          <xdr:row>52</xdr:row>
          <xdr:rowOff>200025</xdr:rowOff>
        </xdr:from>
        <xdr:to>
          <xdr:col>3</xdr:col>
          <xdr:colOff>1066800</xdr:colOff>
          <xdr:row>55</xdr:row>
          <xdr:rowOff>38100</xdr:rowOff>
        </xdr:to>
        <xdr:sp macro="" textlink="">
          <xdr:nvSpPr>
            <xdr:cNvPr id="1208" name="Group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1437900</xdr:colOff>
      <xdr:row>3</xdr:row>
      <xdr:rowOff>255084</xdr:rowOff>
    </xdr:from>
    <xdr:ext cx="8031686" cy="655885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655614" y="1049741"/>
          <a:ext cx="8031686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6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ASHRAE 62.2-2016 Ventilation Calculator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323850</xdr:colOff>
      <xdr:row>1</xdr:row>
      <xdr:rowOff>180975</xdr:rowOff>
    </xdr:from>
    <xdr:to>
      <xdr:col>15</xdr:col>
      <xdr:colOff>447675</xdr:colOff>
      <xdr:row>6</xdr:row>
      <xdr:rowOff>28575</xdr:rowOff>
    </xdr:to>
    <xdr:pic>
      <xdr:nvPicPr>
        <xdr:cNvPr id="18435" name="Picture 1">
          <a:extLst>
            <a:ext uri="{FF2B5EF4-FFF2-40B4-BE49-F238E27FC236}">
              <a16:creationId xmlns:a16="http://schemas.microsoft.com/office/drawing/2014/main" id="{00000000-0008-0000-0C00-000003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371475"/>
          <a:ext cx="56102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0</xdr:row>
      <xdr:rowOff>180975</xdr:rowOff>
    </xdr:from>
    <xdr:to>
      <xdr:col>5</xdr:col>
      <xdr:colOff>209550</xdr:colOff>
      <xdr:row>6</xdr:row>
      <xdr:rowOff>19050</xdr:rowOff>
    </xdr:to>
    <xdr:pic>
      <xdr:nvPicPr>
        <xdr:cNvPr id="18436" name="Picture 3">
          <a:extLst>
            <a:ext uri="{FF2B5EF4-FFF2-40B4-BE49-F238E27FC236}">
              <a16:creationId xmlns:a16="http://schemas.microsoft.com/office/drawing/2014/main" id="{00000000-0008-0000-0C00-000004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180975"/>
          <a:ext cx="17145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552450</xdr:colOff>
      <xdr:row>2</xdr:row>
      <xdr:rowOff>0</xdr:rowOff>
    </xdr:from>
    <xdr:to>
      <xdr:col>20</xdr:col>
      <xdr:colOff>152400</xdr:colOff>
      <xdr:row>6</xdr:row>
      <xdr:rowOff>0</xdr:rowOff>
    </xdr:to>
    <xdr:pic>
      <xdr:nvPicPr>
        <xdr:cNvPr id="18437" name="Picture 4" descr="http://www.iremnyc.org/irem/FileContents.phx?fileid=7a3ddc82-23d7-4bd4-a1bc-3ef19df7779d">
          <a:extLst>
            <a:ext uri="{FF2B5EF4-FFF2-40B4-BE49-F238E27FC236}">
              <a16:creationId xmlns:a16="http://schemas.microsoft.com/office/drawing/2014/main" id="{00000000-0008-0000-0C00-000005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50" y="381000"/>
          <a:ext cx="2038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9</xdr:row>
          <xdr:rowOff>76200</xdr:rowOff>
        </xdr:from>
        <xdr:to>
          <xdr:col>22</xdr:col>
          <xdr:colOff>457200</xdr:colOff>
          <xdr:row>102</xdr:row>
          <xdr:rowOff>123825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C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9</xdr:row>
          <xdr:rowOff>152400</xdr:rowOff>
        </xdr:from>
        <xdr:to>
          <xdr:col>21</xdr:col>
          <xdr:colOff>476250</xdr:colOff>
          <xdr:row>103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C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</xdr:row>
          <xdr:rowOff>85725</xdr:rowOff>
        </xdr:from>
        <xdr:to>
          <xdr:col>2</xdr:col>
          <xdr:colOff>314325</xdr:colOff>
          <xdr:row>8</xdr:row>
          <xdr:rowOff>257175</xdr:rowOff>
        </xdr:to>
        <xdr:sp macro="" textlink="">
          <xdr:nvSpPr>
            <xdr:cNvPr id="19457" name="Option Butto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8</xdr:row>
          <xdr:rowOff>95250</xdr:rowOff>
        </xdr:from>
        <xdr:to>
          <xdr:col>2</xdr:col>
          <xdr:colOff>561975</xdr:colOff>
          <xdr:row>8</xdr:row>
          <xdr:rowOff>247650</xdr:rowOff>
        </xdr:to>
        <xdr:sp macro="" textlink="">
          <xdr:nvSpPr>
            <xdr:cNvPr id="19458" name="Option Button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2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8</xdr:row>
          <xdr:rowOff>57150</xdr:rowOff>
        </xdr:from>
        <xdr:to>
          <xdr:col>2</xdr:col>
          <xdr:colOff>600075</xdr:colOff>
          <xdr:row>9</xdr:row>
          <xdr:rowOff>9525</xdr:rowOff>
        </xdr:to>
        <xdr:sp macro="" textlink="">
          <xdr:nvSpPr>
            <xdr:cNvPr id="19459" name="Group Box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2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9</xdr:row>
          <xdr:rowOff>57150</xdr:rowOff>
        </xdr:from>
        <xdr:to>
          <xdr:col>2</xdr:col>
          <xdr:colOff>304800</xdr:colOff>
          <xdr:row>9</xdr:row>
          <xdr:rowOff>228600</xdr:rowOff>
        </xdr:to>
        <xdr:sp macro="" textlink="">
          <xdr:nvSpPr>
            <xdr:cNvPr id="19460" name="Option Button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2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9</xdr:row>
          <xdr:rowOff>66675</xdr:rowOff>
        </xdr:from>
        <xdr:to>
          <xdr:col>2</xdr:col>
          <xdr:colOff>552450</xdr:colOff>
          <xdr:row>9</xdr:row>
          <xdr:rowOff>219075</xdr:rowOff>
        </xdr:to>
        <xdr:sp macro="" textlink="">
          <xdr:nvSpPr>
            <xdr:cNvPr id="19461" name="Option Button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00000000-0008-0000-0200-00000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10</xdr:row>
          <xdr:rowOff>38100</xdr:rowOff>
        </xdr:from>
        <xdr:to>
          <xdr:col>2</xdr:col>
          <xdr:colOff>304800</xdr:colOff>
          <xdr:row>10</xdr:row>
          <xdr:rowOff>209550</xdr:rowOff>
        </xdr:to>
        <xdr:sp macro="" textlink="">
          <xdr:nvSpPr>
            <xdr:cNvPr id="19462" name="Option Button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2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10</xdr:row>
          <xdr:rowOff>47625</xdr:rowOff>
        </xdr:from>
        <xdr:to>
          <xdr:col>2</xdr:col>
          <xdr:colOff>552450</xdr:colOff>
          <xdr:row>10</xdr:row>
          <xdr:rowOff>200025</xdr:rowOff>
        </xdr:to>
        <xdr:sp macro="" textlink="">
          <xdr:nvSpPr>
            <xdr:cNvPr id="19463" name="Option Button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2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11</xdr:row>
          <xdr:rowOff>38100</xdr:rowOff>
        </xdr:from>
        <xdr:to>
          <xdr:col>2</xdr:col>
          <xdr:colOff>304800</xdr:colOff>
          <xdr:row>11</xdr:row>
          <xdr:rowOff>209550</xdr:rowOff>
        </xdr:to>
        <xdr:sp macro="" textlink="">
          <xdr:nvSpPr>
            <xdr:cNvPr id="19464" name="Option Button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00000000-0008-0000-0200-00000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11</xdr:row>
          <xdr:rowOff>47625</xdr:rowOff>
        </xdr:from>
        <xdr:to>
          <xdr:col>2</xdr:col>
          <xdr:colOff>552450</xdr:colOff>
          <xdr:row>11</xdr:row>
          <xdr:rowOff>200025</xdr:rowOff>
        </xdr:to>
        <xdr:sp macro="" textlink="">
          <xdr:nvSpPr>
            <xdr:cNvPr id="19465" name="Option Button 9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00000000-0008-0000-0200-00000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</xdr:row>
          <xdr:rowOff>38100</xdr:rowOff>
        </xdr:from>
        <xdr:to>
          <xdr:col>2</xdr:col>
          <xdr:colOff>304800</xdr:colOff>
          <xdr:row>12</xdr:row>
          <xdr:rowOff>209550</xdr:rowOff>
        </xdr:to>
        <xdr:sp macro="" textlink="">
          <xdr:nvSpPr>
            <xdr:cNvPr id="19466" name="Option Button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2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12</xdr:row>
          <xdr:rowOff>47625</xdr:rowOff>
        </xdr:from>
        <xdr:to>
          <xdr:col>2</xdr:col>
          <xdr:colOff>552450</xdr:colOff>
          <xdr:row>12</xdr:row>
          <xdr:rowOff>200025</xdr:rowOff>
        </xdr:to>
        <xdr:sp macro="" textlink="">
          <xdr:nvSpPr>
            <xdr:cNvPr id="19467" name="Option Button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02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</xdr:row>
          <xdr:rowOff>66675</xdr:rowOff>
        </xdr:from>
        <xdr:to>
          <xdr:col>2</xdr:col>
          <xdr:colOff>304800</xdr:colOff>
          <xdr:row>13</xdr:row>
          <xdr:rowOff>238125</xdr:rowOff>
        </xdr:to>
        <xdr:sp macro="" textlink="">
          <xdr:nvSpPr>
            <xdr:cNvPr id="19468" name="Option Button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00000000-0008-0000-0200-00000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13</xdr:row>
          <xdr:rowOff>76200</xdr:rowOff>
        </xdr:from>
        <xdr:to>
          <xdr:col>2</xdr:col>
          <xdr:colOff>552450</xdr:colOff>
          <xdr:row>13</xdr:row>
          <xdr:rowOff>228600</xdr:rowOff>
        </xdr:to>
        <xdr:sp macro="" textlink="">
          <xdr:nvSpPr>
            <xdr:cNvPr id="19469" name="Option Button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00000000-0008-0000-0200-00000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14</xdr:row>
          <xdr:rowOff>47625</xdr:rowOff>
        </xdr:from>
        <xdr:to>
          <xdr:col>2</xdr:col>
          <xdr:colOff>304800</xdr:colOff>
          <xdr:row>14</xdr:row>
          <xdr:rowOff>219075</xdr:rowOff>
        </xdr:to>
        <xdr:sp macro="" textlink="">
          <xdr:nvSpPr>
            <xdr:cNvPr id="19470" name="Option Button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00000000-0008-0000-0200-00000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14</xdr:row>
          <xdr:rowOff>57150</xdr:rowOff>
        </xdr:from>
        <xdr:to>
          <xdr:col>2</xdr:col>
          <xdr:colOff>552450</xdr:colOff>
          <xdr:row>14</xdr:row>
          <xdr:rowOff>209550</xdr:rowOff>
        </xdr:to>
        <xdr:sp macro="" textlink="">
          <xdr:nvSpPr>
            <xdr:cNvPr id="19471" name="Option Button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00000000-0008-0000-0200-00000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15</xdr:row>
          <xdr:rowOff>38100</xdr:rowOff>
        </xdr:from>
        <xdr:to>
          <xdr:col>2</xdr:col>
          <xdr:colOff>304800</xdr:colOff>
          <xdr:row>15</xdr:row>
          <xdr:rowOff>209550</xdr:rowOff>
        </xdr:to>
        <xdr:sp macro="" textlink="">
          <xdr:nvSpPr>
            <xdr:cNvPr id="19472" name="Option Button 16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00000000-0008-0000-0200-00001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15</xdr:row>
          <xdr:rowOff>47625</xdr:rowOff>
        </xdr:from>
        <xdr:to>
          <xdr:col>2</xdr:col>
          <xdr:colOff>552450</xdr:colOff>
          <xdr:row>15</xdr:row>
          <xdr:rowOff>200025</xdr:rowOff>
        </xdr:to>
        <xdr:sp macro="" textlink="">
          <xdr:nvSpPr>
            <xdr:cNvPr id="19473" name="Option Button 17" hidden="1">
              <a:extLst>
                <a:ext uri="{63B3BB69-23CF-44E3-9099-C40C66FF867C}">
                  <a14:compatExt spid="_x0000_s19473"/>
                </a:ext>
                <a:ext uri="{FF2B5EF4-FFF2-40B4-BE49-F238E27FC236}">
                  <a16:creationId xmlns:a16="http://schemas.microsoft.com/office/drawing/2014/main" id="{00000000-0008-0000-0200-00001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16</xdr:row>
          <xdr:rowOff>47625</xdr:rowOff>
        </xdr:from>
        <xdr:to>
          <xdr:col>2</xdr:col>
          <xdr:colOff>304800</xdr:colOff>
          <xdr:row>16</xdr:row>
          <xdr:rowOff>219075</xdr:rowOff>
        </xdr:to>
        <xdr:sp macro="" textlink="">
          <xdr:nvSpPr>
            <xdr:cNvPr id="19474" name="Option Button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00000000-0008-0000-0200-00001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16</xdr:row>
          <xdr:rowOff>57150</xdr:rowOff>
        </xdr:from>
        <xdr:to>
          <xdr:col>2</xdr:col>
          <xdr:colOff>552450</xdr:colOff>
          <xdr:row>16</xdr:row>
          <xdr:rowOff>209550</xdr:rowOff>
        </xdr:to>
        <xdr:sp macro="" textlink="">
          <xdr:nvSpPr>
            <xdr:cNvPr id="19475" name="Option Button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02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</xdr:row>
          <xdr:rowOff>76200</xdr:rowOff>
        </xdr:from>
        <xdr:to>
          <xdr:col>2</xdr:col>
          <xdr:colOff>304800</xdr:colOff>
          <xdr:row>17</xdr:row>
          <xdr:rowOff>238125</xdr:rowOff>
        </xdr:to>
        <xdr:sp macro="" textlink="">
          <xdr:nvSpPr>
            <xdr:cNvPr id="19476" name="Option Button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00000000-0008-0000-0200-00001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17</xdr:row>
          <xdr:rowOff>76200</xdr:rowOff>
        </xdr:from>
        <xdr:to>
          <xdr:col>2</xdr:col>
          <xdr:colOff>552450</xdr:colOff>
          <xdr:row>17</xdr:row>
          <xdr:rowOff>228600</xdr:rowOff>
        </xdr:to>
        <xdr:sp macro="" textlink="">
          <xdr:nvSpPr>
            <xdr:cNvPr id="19477" name="Option Button 21" hidden="1">
              <a:extLst>
                <a:ext uri="{63B3BB69-23CF-44E3-9099-C40C66FF867C}">
                  <a14:compatExt spid="_x0000_s19477"/>
                </a:ext>
                <a:ext uri="{FF2B5EF4-FFF2-40B4-BE49-F238E27FC236}">
                  <a16:creationId xmlns:a16="http://schemas.microsoft.com/office/drawing/2014/main" id="{00000000-0008-0000-0200-00001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18</xdr:row>
          <xdr:rowOff>47625</xdr:rowOff>
        </xdr:from>
        <xdr:to>
          <xdr:col>2</xdr:col>
          <xdr:colOff>314325</xdr:colOff>
          <xdr:row>18</xdr:row>
          <xdr:rowOff>219075</xdr:rowOff>
        </xdr:to>
        <xdr:sp macro="" textlink="">
          <xdr:nvSpPr>
            <xdr:cNvPr id="19478" name="Option Button 22" hidden="1">
              <a:extLst>
                <a:ext uri="{63B3BB69-23CF-44E3-9099-C40C66FF867C}">
                  <a14:compatExt spid="_x0000_s19478"/>
                </a:ext>
                <a:ext uri="{FF2B5EF4-FFF2-40B4-BE49-F238E27FC236}">
                  <a16:creationId xmlns:a16="http://schemas.microsoft.com/office/drawing/2014/main" id="{00000000-0008-0000-0200-00001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18</xdr:row>
          <xdr:rowOff>57150</xdr:rowOff>
        </xdr:from>
        <xdr:to>
          <xdr:col>2</xdr:col>
          <xdr:colOff>561975</xdr:colOff>
          <xdr:row>18</xdr:row>
          <xdr:rowOff>209550</xdr:rowOff>
        </xdr:to>
        <xdr:sp macro="" textlink="">
          <xdr:nvSpPr>
            <xdr:cNvPr id="19479" name="Option Button 23" hidden="1">
              <a:extLst>
                <a:ext uri="{63B3BB69-23CF-44E3-9099-C40C66FF867C}">
                  <a14:compatExt spid="_x0000_s19479"/>
                </a:ext>
                <a:ext uri="{FF2B5EF4-FFF2-40B4-BE49-F238E27FC236}">
                  <a16:creationId xmlns:a16="http://schemas.microsoft.com/office/drawing/2014/main" id="{00000000-0008-0000-0200-00001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19</xdr:row>
          <xdr:rowOff>47625</xdr:rowOff>
        </xdr:from>
        <xdr:to>
          <xdr:col>2</xdr:col>
          <xdr:colOff>323850</xdr:colOff>
          <xdr:row>19</xdr:row>
          <xdr:rowOff>219075</xdr:rowOff>
        </xdr:to>
        <xdr:sp macro="" textlink="">
          <xdr:nvSpPr>
            <xdr:cNvPr id="19480" name="Option Button 24" hidden="1">
              <a:extLst>
                <a:ext uri="{63B3BB69-23CF-44E3-9099-C40C66FF867C}">
                  <a14:compatExt spid="_x0000_s19480"/>
                </a:ext>
                <a:ext uri="{FF2B5EF4-FFF2-40B4-BE49-F238E27FC236}">
                  <a16:creationId xmlns:a16="http://schemas.microsoft.com/office/drawing/2014/main" id="{00000000-0008-0000-0200-00001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19</xdr:row>
          <xdr:rowOff>57150</xdr:rowOff>
        </xdr:from>
        <xdr:to>
          <xdr:col>2</xdr:col>
          <xdr:colOff>571500</xdr:colOff>
          <xdr:row>19</xdr:row>
          <xdr:rowOff>209550</xdr:rowOff>
        </xdr:to>
        <xdr:sp macro="" textlink="">
          <xdr:nvSpPr>
            <xdr:cNvPr id="19481" name="Option Button 25" hidden="1">
              <a:extLst>
                <a:ext uri="{63B3BB69-23CF-44E3-9099-C40C66FF867C}">
                  <a14:compatExt spid="_x0000_s19481"/>
                </a:ext>
                <a:ext uri="{FF2B5EF4-FFF2-40B4-BE49-F238E27FC236}">
                  <a16:creationId xmlns:a16="http://schemas.microsoft.com/office/drawing/2014/main" id="{00000000-0008-0000-0200-00001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20</xdr:row>
          <xdr:rowOff>38100</xdr:rowOff>
        </xdr:from>
        <xdr:to>
          <xdr:col>2</xdr:col>
          <xdr:colOff>323850</xdr:colOff>
          <xdr:row>20</xdr:row>
          <xdr:rowOff>209550</xdr:rowOff>
        </xdr:to>
        <xdr:sp macro="" textlink="">
          <xdr:nvSpPr>
            <xdr:cNvPr id="19486" name="Option Button 30" hidden="1">
              <a:extLst>
                <a:ext uri="{63B3BB69-23CF-44E3-9099-C40C66FF867C}">
                  <a14:compatExt spid="_x0000_s19486"/>
                </a:ext>
                <a:ext uri="{FF2B5EF4-FFF2-40B4-BE49-F238E27FC236}">
                  <a16:creationId xmlns:a16="http://schemas.microsoft.com/office/drawing/2014/main" id="{00000000-0008-0000-0200-00001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20</xdr:row>
          <xdr:rowOff>47625</xdr:rowOff>
        </xdr:from>
        <xdr:to>
          <xdr:col>2</xdr:col>
          <xdr:colOff>571500</xdr:colOff>
          <xdr:row>20</xdr:row>
          <xdr:rowOff>200025</xdr:rowOff>
        </xdr:to>
        <xdr:sp macro="" textlink="">
          <xdr:nvSpPr>
            <xdr:cNvPr id="19487" name="Option Button 31" hidden="1">
              <a:extLst>
                <a:ext uri="{63B3BB69-23CF-44E3-9099-C40C66FF867C}">
                  <a14:compatExt spid="_x0000_s19487"/>
                </a:ext>
                <a:ext uri="{FF2B5EF4-FFF2-40B4-BE49-F238E27FC236}">
                  <a16:creationId xmlns:a16="http://schemas.microsoft.com/office/drawing/2014/main" id="{00000000-0008-0000-0200-00001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21</xdr:row>
          <xdr:rowOff>47625</xdr:rowOff>
        </xdr:from>
        <xdr:to>
          <xdr:col>2</xdr:col>
          <xdr:colOff>323850</xdr:colOff>
          <xdr:row>21</xdr:row>
          <xdr:rowOff>219075</xdr:rowOff>
        </xdr:to>
        <xdr:sp macro="" textlink="">
          <xdr:nvSpPr>
            <xdr:cNvPr id="19488" name="Option Button 32" hidden="1">
              <a:extLst>
                <a:ext uri="{63B3BB69-23CF-44E3-9099-C40C66FF867C}">
                  <a14:compatExt spid="_x0000_s19488"/>
                </a:ext>
                <a:ext uri="{FF2B5EF4-FFF2-40B4-BE49-F238E27FC236}">
                  <a16:creationId xmlns:a16="http://schemas.microsoft.com/office/drawing/2014/main" id="{00000000-0008-0000-0200-00002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21</xdr:row>
          <xdr:rowOff>57150</xdr:rowOff>
        </xdr:from>
        <xdr:to>
          <xdr:col>2</xdr:col>
          <xdr:colOff>571500</xdr:colOff>
          <xdr:row>21</xdr:row>
          <xdr:rowOff>209550</xdr:rowOff>
        </xdr:to>
        <xdr:sp macro="" textlink="">
          <xdr:nvSpPr>
            <xdr:cNvPr id="19489" name="Option Button 33" hidden="1">
              <a:extLst>
                <a:ext uri="{63B3BB69-23CF-44E3-9099-C40C66FF867C}">
                  <a14:compatExt spid="_x0000_s19489"/>
                </a:ext>
                <a:ext uri="{FF2B5EF4-FFF2-40B4-BE49-F238E27FC236}">
                  <a16:creationId xmlns:a16="http://schemas.microsoft.com/office/drawing/2014/main" id="{00000000-0008-0000-0200-00002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22</xdr:row>
          <xdr:rowOff>38100</xdr:rowOff>
        </xdr:from>
        <xdr:to>
          <xdr:col>2</xdr:col>
          <xdr:colOff>323850</xdr:colOff>
          <xdr:row>22</xdr:row>
          <xdr:rowOff>209550</xdr:rowOff>
        </xdr:to>
        <xdr:sp macro="" textlink="">
          <xdr:nvSpPr>
            <xdr:cNvPr id="19492" name="Option Button 36" hidden="1">
              <a:extLst>
                <a:ext uri="{63B3BB69-23CF-44E3-9099-C40C66FF867C}">
                  <a14:compatExt spid="_x0000_s19492"/>
                </a:ext>
                <a:ext uri="{FF2B5EF4-FFF2-40B4-BE49-F238E27FC236}">
                  <a16:creationId xmlns:a16="http://schemas.microsoft.com/office/drawing/2014/main" id="{00000000-0008-0000-0200-00002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22</xdr:row>
          <xdr:rowOff>47625</xdr:rowOff>
        </xdr:from>
        <xdr:to>
          <xdr:col>2</xdr:col>
          <xdr:colOff>571500</xdr:colOff>
          <xdr:row>22</xdr:row>
          <xdr:rowOff>200025</xdr:rowOff>
        </xdr:to>
        <xdr:sp macro="" textlink="">
          <xdr:nvSpPr>
            <xdr:cNvPr id="19493" name="Option Button 37" hidden="1">
              <a:extLst>
                <a:ext uri="{63B3BB69-23CF-44E3-9099-C40C66FF867C}">
                  <a14:compatExt spid="_x0000_s19493"/>
                </a:ext>
                <a:ext uri="{FF2B5EF4-FFF2-40B4-BE49-F238E27FC236}">
                  <a16:creationId xmlns:a16="http://schemas.microsoft.com/office/drawing/2014/main" id="{00000000-0008-0000-0200-00002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8</xdr:row>
          <xdr:rowOff>57150</xdr:rowOff>
        </xdr:from>
        <xdr:to>
          <xdr:col>7</xdr:col>
          <xdr:colOff>314325</xdr:colOff>
          <xdr:row>8</xdr:row>
          <xdr:rowOff>228600</xdr:rowOff>
        </xdr:to>
        <xdr:sp macro="" textlink="">
          <xdr:nvSpPr>
            <xdr:cNvPr id="19494" name="Option Button 38" hidden="1">
              <a:extLst>
                <a:ext uri="{63B3BB69-23CF-44E3-9099-C40C66FF867C}">
                  <a14:compatExt spid="_x0000_s19494"/>
                </a:ext>
                <a:ext uri="{FF2B5EF4-FFF2-40B4-BE49-F238E27FC236}">
                  <a16:creationId xmlns:a16="http://schemas.microsoft.com/office/drawing/2014/main" id="{00000000-0008-0000-0200-00002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8</xdr:row>
          <xdr:rowOff>66675</xdr:rowOff>
        </xdr:from>
        <xdr:to>
          <xdr:col>7</xdr:col>
          <xdr:colOff>561975</xdr:colOff>
          <xdr:row>8</xdr:row>
          <xdr:rowOff>219075</xdr:rowOff>
        </xdr:to>
        <xdr:sp macro="" textlink="">
          <xdr:nvSpPr>
            <xdr:cNvPr id="19495" name="Option Button 39" hidden="1">
              <a:extLst>
                <a:ext uri="{63B3BB69-23CF-44E3-9099-C40C66FF867C}">
                  <a14:compatExt spid="_x0000_s19495"/>
                </a:ext>
                <a:ext uri="{FF2B5EF4-FFF2-40B4-BE49-F238E27FC236}">
                  <a16:creationId xmlns:a16="http://schemas.microsoft.com/office/drawing/2014/main" id="{00000000-0008-0000-0200-00002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9</xdr:row>
          <xdr:rowOff>38100</xdr:rowOff>
        </xdr:from>
        <xdr:to>
          <xdr:col>7</xdr:col>
          <xdr:colOff>323850</xdr:colOff>
          <xdr:row>9</xdr:row>
          <xdr:rowOff>209550</xdr:rowOff>
        </xdr:to>
        <xdr:sp macro="" textlink="">
          <xdr:nvSpPr>
            <xdr:cNvPr id="19496" name="Option Button 40" hidden="1">
              <a:extLst>
                <a:ext uri="{63B3BB69-23CF-44E3-9099-C40C66FF867C}">
                  <a14:compatExt spid="_x0000_s19496"/>
                </a:ext>
                <a:ext uri="{FF2B5EF4-FFF2-40B4-BE49-F238E27FC236}">
                  <a16:creationId xmlns:a16="http://schemas.microsoft.com/office/drawing/2014/main" id="{00000000-0008-0000-0200-00002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9</xdr:row>
          <xdr:rowOff>47625</xdr:rowOff>
        </xdr:from>
        <xdr:to>
          <xdr:col>7</xdr:col>
          <xdr:colOff>571500</xdr:colOff>
          <xdr:row>9</xdr:row>
          <xdr:rowOff>200025</xdr:rowOff>
        </xdr:to>
        <xdr:sp macro="" textlink="">
          <xdr:nvSpPr>
            <xdr:cNvPr id="19497" name="Option Button 41" hidden="1">
              <a:extLst>
                <a:ext uri="{63B3BB69-23CF-44E3-9099-C40C66FF867C}">
                  <a14:compatExt spid="_x0000_s19497"/>
                </a:ext>
                <a:ext uri="{FF2B5EF4-FFF2-40B4-BE49-F238E27FC236}">
                  <a16:creationId xmlns:a16="http://schemas.microsoft.com/office/drawing/2014/main" id="{00000000-0008-0000-0200-00002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10</xdr:row>
          <xdr:rowOff>47625</xdr:rowOff>
        </xdr:from>
        <xdr:to>
          <xdr:col>7</xdr:col>
          <xdr:colOff>323850</xdr:colOff>
          <xdr:row>10</xdr:row>
          <xdr:rowOff>219075</xdr:rowOff>
        </xdr:to>
        <xdr:sp macro="" textlink="">
          <xdr:nvSpPr>
            <xdr:cNvPr id="19498" name="Option Button 42" hidden="1">
              <a:extLst>
                <a:ext uri="{63B3BB69-23CF-44E3-9099-C40C66FF867C}">
                  <a14:compatExt spid="_x0000_s19498"/>
                </a:ext>
                <a:ext uri="{FF2B5EF4-FFF2-40B4-BE49-F238E27FC236}">
                  <a16:creationId xmlns:a16="http://schemas.microsoft.com/office/drawing/2014/main" id="{00000000-0008-0000-0200-00002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400050</xdr:colOff>
          <xdr:row>10</xdr:row>
          <xdr:rowOff>57150</xdr:rowOff>
        </xdr:from>
        <xdr:to>
          <xdr:col>7</xdr:col>
          <xdr:colOff>571500</xdr:colOff>
          <xdr:row>10</xdr:row>
          <xdr:rowOff>209550</xdr:rowOff>
        </xdr:to>
        <xdr:sp macro="" textlink="">
          <xdr:nvSpPr>
            <xdr:cNvPr id="19499" name="Option Button 43" hidden="1">
              <a:extLst>
                <a:ext uri="{63B3BB69-23CF-44E3-9099-C40C66FF867C}">
                  <a14:compatExt spid="_x0000_s19499"/>
                </a:ext>
                <a:ext uri="{FF2B5EF4-FFF2-40B4-BE49-F238E27FC236}">
                  <a16:creationId xmlns:a16="http://schemas.microsoft.com/office/drawing/2014/main" id="{00000000-0008-0000-0200-00002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11</xdr:row>
          <xdr:rowOff>47625</xdr:rowOff>
        </xdr:from>
        <xdr:to>
          <xdr:col>7</xdr:col>
          <xdr:colOff>333375</xdr:colOff>
          <xdr:row>11</xdr:row>
          <xdr:rowOff>219075</xdr:rowOff>
        </xdr:to>
        <xdr:sp macro="" textlink="">
          <xdr:nvSpPr>
            <xdr:cNvPr id="19500" name="Option Button 44" hidden="1">
              <a:extLst>
                <a:ext uri="{63B3BB69-23CF-44E3-9099-C40C66FF867C}">
                  <a14:compatExt spid="_x0000_s19500"/>
                </a:ext>
                <a:ext uri="{FF2B5EF4-FFF2-40B4-BE49-F238E27FC236}">
                  <a16:creationId xmlns:a16="http://schemas.microsoft.com/office/drawing/2014/main" id="{00000000-0008-0000-0200-00002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11</xdr:row>
          <xdr:rowOff>47625</xdr:rowOff>
        </xdr:from>
        <xdr:to>
          <xdr:col>7</xdr:col>
          <xdr:colOff>581025</xdr:colOff>
          <xdr:row>11</xdr:row>
          <xdr:rowOff>200025</xdr:rowOff>
        </xdr:to>
        <xdr:sp macro="" textlink="">
          <xdr:nvSpPr>
            <xdr:cNvPr id="19501" name="Option Button 45" hidden="1">
              <a:extLst>
                <a:ext uri="{63B3BB69-23CF-44E3-9099-C40C66FF867C}">
                  <a14:compatExt spid="_x0000_s19501"/>
                </a:ext>
                <a:ext uri="{FF2B5EF4-FFF2-40B4-BE49-F238E27FC236}">
                  <a16:creationId xmlns:a16="http://schemas.microsoft.com/office/drawing/2014/main" id="{00000000-0008-0000-0200-00002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12</xdr:row>
          <xdr:rowOff>47625</xdr:rowOff>
        </xdr:from>
        <xdr:to>
          <xdr:col>7</xdr:col>
          <xdr:colOff>333375</xdr:colOff>
          <xdr:row>12</xdr:row>
          <xdr:rowOff>219075</xdr:rowOff>
        </xdr:to>
        <xdr:sp macro="" textlink="">
          <xdr:nvSpPr>
            <xdr:cNvPr id="19502" name="Option Button 46" hidden="1">
              <a:extLst>
                <a:ext uri="{63B3BB69-23CF-44E3-9099-C40C66FF867C}">
                  <a14:compatExt spid="_x0000_s19502"/>
                </a:ext>
                <a:ext uri="{FF2B5EF4-FFF2-40B4-BE49-F238E27FC236}">
                  <a16:creationId xmlns:a16="http://schemas.microsoft.com/office/drawing/2014/main" id="{00000000-0008-0000-0200-00002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12</xdr:row>
          <xdr:rowOff>47625</xdr:rowOff>
        </xdr:from>
        <xdr:to>
          <xdr:col>7</xdr:col>
          <xdr:colOff>581025</xdr:colOff>
          <xdr:row>12</xdr:row>
          <xdr:rowOff>200025</xdr:rowOff>
        </xdr:to>
        <xdr:sp macro="" textlink="">
          <xdr:nvSpPr>
            <xdr:cNvPr id="19503" name="Option Button 47" hidden="1">
              <a:extLst>
                <a:ext uri="{63B3BB69-23CF-44E3-9099-C40C66FF867C}">
                  <a14:compatExt spid="_x0000_s19503"/>
                </a:ext>
                <a:ext uri="{FF2B5EF4-FFF2-40B4-BE49-F238E27FC236}">
                  <a16:creationId xmlns:a16="http://schemas.microsoft.com/office/drawing/2014/main" id="{00000000-0008-0000-0200-00002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13</xdr:row>
          <xdr:rowOff>66675</xdr:rowOff>
        </xdr:from>
        <xdr:to>
          <xdr:col>7</xdr:col>
          <xdr:colOff>333375</xdr:colOff>
          <xdr:row>13</xdr:row>
          <xdr:rowOff>238125</xdr:rowOff>
        </xdr:to>
        <xdr:sp macro="" textlink="">
          <xdr:nvSpPr>
            <xdr:cNvPr id="19504" name="Option Button 48" hidden="1">
              <a:extLst>
                <a:ext uri="{63B3BB69-23CF-44E3-9099-C40C66FF867C}">
                  <a14:compatExt spid="_x0000_s19504"/>
                </a:ext>
                <a:ext uri="{FF2B5EF4-FFF2-40B4-BE49-F238E27FC236}">
                  <a16:creationId xmlns:a16="http://schemas.microsoft.com/office/drawing/2014/main" id="{00000000-0008-0000-0200-00003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13</xdr:row>
          <xdr:rowOff>66675</xdr:rowOff>
        </xdr:from>
        <xdr:to>
          <xdr:col>7</xdr:col>
          <xdr:colOff>581025</xdr:colOff>
          <xdr:row>13</xdr:row>
          <xdr:rowOff>219075</xdr:rowOff>
        </xdr:to>
        <xdr:sp macro="" textlink="">
          <xdr:nvSpPr>
            <xdr:cNvPr id="19505" name="Option Button 49" hidden="1">
              <a:extLst>
                <a:ext uri="{63B3BB69-23CF-44E3-9099-C40C66FF867C}">
                  <a14:compatExt spid="_x0000_s19505"/>
                </a:ext>
                <a:ext uri="{FF2B5EF4-FFF2-40B4-BE49-F238E27FC236}">
                  <a16:creationId xmlns:a16="http://schemas.microsoft.com/office/drawing/2014/main" id="{00000000-0008-0000-0200-00003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14</xdr:row>
          <xdr:rowOff>66675</xdr:rowOff>
        </xdr:from>
        <xdr:to>
          <xdr:col>7</xdr:col>
          <xdr:colOff>333375</xdr:colOff>
          <xdr:row>14</xdr:row>
          <xdr:rowOff>238125</xdr:rowOff>
        </xdr:to>
        <xdr:sp macro="" textlink="">
          <xdr:nvSpPr>
            <xdr:cNvPr id="19506" name="Option Button 50" hidden="1">
              <a:extLst>
                <a:ext uri="{63B3BB69-23CF-44E3-9099-C40C66FF867C}">
                  <a14:compatExt spid="_x0000_s19506"/>
                </a:ext>
                <a:ext uri="{FF2B5EF4-FFF2-40B4-BE49-F238E27FC236}">
                  <a16:creationId xmlns:a16="http://schemas.microsoft.com/office/drawing/2014/main" id="{00000000-0008-0000-0200-00003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14</xdr:row>
          <xdr:rowOff>66675</xdr:rowOff>
        </xdr:from>
        <xdr:to>
          <xdr:col>7</xdr:col>
          <xdr:colOff>581025</xdr:colOff>
          <xdr:row>14</xdr:row>
          <xdr:rowOff>219075</xdr:rowOff>
        </xdr:to>
        <xdr:sp macro="" textlink="">
          <xdr:nvSpPr>
            <xdr:cNvPr id="19507" name="Option Button 51" hidden="1">
              <a:extLst>
                <a:ext uri="{63B3BB69-23CF-44E3-9099-C40C66FF867C}">
                  <a14:compatExt spid="_x0000_s19507"/>
                </a:ext>
                <a:ext uri="{FF2B5EF4-FFF2-40B4-BE49-F238E27FC236}">
                  <a16:creationId xmlns:a16="http://schemas.microsoft.com/office/drawing/2014/main" id="{00000000-0008-0000-0200-00003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15</xdr:row>
          <xdr:rowOff>47625</xdr:rowOff>
        </xdr:from>
        <xdr:to>
          <xdr:col>7</xdr:col>
          <xdr:colOff>333375</xdr:colOff>
          <xdr:row>15</xdr:row>
          <xdr:rowOff>219075</xdr:rowOff>
        </xdr:to>
        <xdr:sp macro="" textlink="">
          <xdr:nvSpPr>
            <xdr:cNvPr id="19508" name="Option Button 52" hidden="1">
              <a:extLst>
                <a:ext uri="{63B3BB69-23CF-44E3-9099-C40C66FF867C}">
                  <a14:compatExt spid="_x0000_s19508"/>
                </a:ext>
                <a:ext uri="{FF2B5EF4-FFF2-40B4-BE49-F238E27FC236}">
                  <a16:creationId xmlns:a16="http://schemas.microsoft.com/office/drawing/2014/main" id="{00000000-0008-0000-0200-00003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15</xdr:row>
          <xdr:rowOff>57150</xdr:rowOff>
        </xdr:from>
        <xdr:to>
          <xdr:col>7</xdr:col>
          <xdr:colOff>581025</xdr:colOff>
          <xdr:row>15</xdr:row>
          <xdr:rowOff>209550</xdr:rowOff>
        </xdr:to>
        <xdr:sp macro="" textlink="">
          <xdr:nvSpPr>
            <xdr:cNvPr id="19509" name="Option Button 53" hidden="1">
              <a:extLst>
                <a:ext uri="{63B3BB69-23CF-44E3-9099-C40C66FF867C}">
                  <a14:compatExt spid="_x0000_s19509"/>
                </a:ext>
                <a:ext uri="{FF2B5EF4-FFF2-40B4-BE49-F238E27FC236}">
                  <a16:creationId xmlns:a16="http://schemas.microsoft.com/office/drawing/2014/main" id="{00000000-0008-0000-0200-00003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16</xdr:row>
          <xdr:rowOff>47625</xdr:rowOff>
        </xdr:from>
        <xdr:to>
          <xdr:col>7</xdr:col>
          <xdr:colOff>333375</xdr:colOff>
          <xdr:row>16</xdr:row>
          <xdr:rowOff>219075</xdr:rowOff>
        </xdr:to>
        <xdr:sp macro="" textlink="">
          <xdr:nvSpPr>
            <xdr:cNvPr id="19510" name="Option Button 54" hidden="1">
              <a:extLst>
                <a:ext uri="{63B3BB69-23CF-44E3-9099-C40C66FF867C}">
                  <a14:compatExt spid="_x0000_s19510"/>
                </a:ext>
                <a:ext uri="{FF2B5EF4-FFF2-40B4-BE49-F238E27FC236}">
                  <a16:creationId xmlns:a16="http://schemas.microsoft.com/office/drawing/2014/main" id="{00000000-0008-0000-0200-00003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16</xdr:row>
          <xdr:rowOff>57150</xdr:rowOff>
        </xdr:from>
        <xdr:to>
          <xdr:col>7</xdr:col>
          <xdr:colOff>581025</xdr:colOff>
          <xdr:row>16</xdr:row>
          <xdr:rowOff>209550</xdr:rowOff>
        </xdr:to>
        <xdr:sp macro="" textlink="">
          <xdr:nvSpPr>
            <xdr:cNvPr id="19511" name="Option Button 55" hidden="1">
              <a:extLst>
                <a:ext uri="{63B3BB69-23CF-44E3-9099-C40C66FF867C}">
                  <a14:compatExt spid="_x0000_s19511"/>
                </a:ext>
                <a:ext uri="{FF2B5EF4-FFF2-40B4-BE49-F238E27FC236}">
                  <a16:creationId xmlns:a16="http://schemas.microsoft.com/office/drawing/2014/main" id="{00000000-0008-0000-0200-00003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17</xdr:row>
          <xdr:rowOff>66675</xdr:rowOff>
        </xdr:from>
        <xdr:to>
          <xdr:col>7</xdr:col>
          <xdr:colOff>333375</xdr:colOff>
          <xdr:row>17</xdr:row>
          <xdr:rowOff>238125</xdr:rowOff>
        </xdr:to>
        <xdr:sp macro="" textlink="">
          <xdr:nvSpPr>
            <xdr:cNvPr id="19512" name="Option Button 56" hidden="1">
              <a:extLst>
                <a:ext uri="{63B3BB69-23CF-44E3-9099-C40C66FF867C}">
                  <a14:compatExt spid="_x0000_s19512"/>
                </a:ext>
                <a:ext uri="{FF2B5EF4-FFF2-40B4-BE49-F238E27FC236}">
                  <a16:creationId xmlns:a16="http://schemas.microsoft.com/office/drawing/2014/main" id="{00000000-0008-0000-0200-00003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17</xdr:row>
          <xdr:rowOff>76200</xdr:rowOff>
        </xdr:from>
        <xdr:to>
          <xdr:col>7</xdr:col>
          <xdr:colOff>581025</xdr:colOff>
          <xdr:row>17</xdr:row>
          <xdr:rowOff>228600</xdr:rowOff>
        </xdr:to>
        <xdr:sp macro="" textlink="">
          <xdr:nvSpPr>
            <xdr:cNvPr id="19513" name="Option Button 57" hidden="1">
              <a:extLst>
                <a:ext uri="{63B3BB69-23CF-44E3-9099-C40C66FF867C}">
                  <a14:compatExt spid="_x0000_s19513"/>
                </a:ext>
                <a:ext uri="{FF2B5EF4-FFF2-40B4-BE49-F238E27FC236}">
                  <a16:creationId xmlns:a16="http://schemas.microsoft.com/office/drawing/2014/main" id="{00000000-0008-0000-0200-00003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18</xdr:row>
          <xdr:rowOff>57150</xdr:rowOff>
        </xdr:from>
        <xdr:to>
          <xdr:col>7</xdr:col>
          <xdr:colOff>333375</xdr:colOff>
          <xdr:row>18</xdr:row>
          <xdr:rowOff>228600</xdr:rowOff>
        </xdr:to>
        <xdr:sp macro="" textlink="">
          <xdr:nvSpPr>
            <xdr:cNvPr id="19514" name="Option Button 58" hidden="1">
              <a:extLst>
                <a:ext uri="{63B3BB69-23CF-44E3-9099-C40C66FF867C}">
                  <a14:compatExt spid="_x0000_s19514"/>
                </a:ext>
                <a:ext uri="{FF2B5EF4-FFF2-40B4-BE49-F238E27FC236}">
                  <a16:creationId xmlns:a16="http://schemas.microsoft.com/office/drawing/2014/main" id="{00000000-0008-0000-0200-00003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18</xdr:row>
          <xdr:rowOff>66675</xdr:rowOff>
        </xdr:from>
        <xdr:to>
          <xdr:col>7</xdr:col>
          <xdr:colOff>581025</xdr:colOff>
          <xdr:row>18</xdr:row>
          <xdr:rowOff>219075</xdr:rowOff>
        </xdr:to>
        <xdr:sp macro="" textlink="">
          <xdr:nvSpPr>
            <xdr:cNvPr id="19515" name="Option Button 59" hidden="1">
              <a:extLst>
                <a:ext uri="{63B3BB69-23CF-44E3-9099-C40C66FF867C}">
                  <a14:compatExt spid="_x0000_s19515"/>
                </a:ext>
                <a:ext uri="{FF2B5EF4-FFF2-40B4-BE49-F238E27FC236}">
                  <a16:creationId xmlns:a16="http://schemas.microsoft.com/office/drawing/2014/main" id="{00000000-0008-0000-0200-00003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19</xdr:row>
          <xdr:rowOff>66675</xdr:rowOff>
        </xdr:from>
        <xdr:to>
          <xdr:col>7</xdr:col>
          <xdr:colOff>333375</xdr:colOff>
          <xdr:row>19</xdr:row>
          <xdr:rowOff>238125</xdr:rowOff>
        </xdr:to>
        <xdr:sp macro="" textlink="">
          <xdr:nvSpPr>
            <xdr:cNvPr id="19516" name="Option Button 60" hidden="1">
              <a:extLst>
                <a:ext uri="{63B3BB69-23CF-44E3-9099-C40C66FF867C}">
                  <a14:compatExt spid="_x0000_s19516"/>
                </a:ext>
                <a:ext uri="{FF2B5EF4-FFF2-40B4-BE49-F238E27FC236}">
                  <a16:creationId xmlns:a16="http://schemas.microsoft.com/office/drawing/2014/main" id="{00000000-0008-0000-0200-00003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19</xdr:row>
          <xdr:rowOff>76200</xdr:rowOff>
        </xdr:from>
        <xdr:to>
          <xdr:col>7</xdr:col>
          <xdr:colOff>581025</xdr:colOff>
          <xdr:row>19</xdr:row>
          <xdr:rowOff>228600</xdr:rowOff>
        </xdr:to>
        <xdr:sp macro="" textlink="">
          <xdr:nvSpPr>
            <xdr:cNvPr id="19517" name="Option Button 61" hidden="1">
              <a:extLst>
                <a:ext uri="{63B3BB69-23CF-44E3-9099-C40C66FF867C}">
                  <a14:compatExt spid="_x0000_s19517"/>
                </a:ext>
                <a:ext uri="{FF2B5EF4-FFF2-40B4-BE49-F238E27FC236}">
                  <a16:creationId xmlns:a16="http://schemas.microsoft.com/office/drawing/2014/main" id="{00000000-0008-0000-0200-00003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20</xdr:row>
          <xdr:rowOff>57150</xdr:rowOff>
        </xdr:from>
        <xdr:to>
          <xdr:col>7</xdr:col>
          <xdr:colOff>333375</xdr:colOff>
          <xdr:row>20</xdr:row>
          <xdr:rowOff>228600</xdr:rowOff>
        </xdr:to>
        <xdr:sp macro="" textlink="">
          <xdr:nvSpPr>
            <xdr:cNvPr id="19520" name="Option Button 64" hidden="1">
              <a:extLst>
                <a:ext uri="{63B3BB69-23CF-44E3-9099-C40C66FF867C}">
                  <a14:compatExt spid="_x0000_s19520"/>
                </a:ext>
                <a:ext uri="{FF2B5EF4-FFF2-40B4-BE49-F238E27FC236}">
                  <a16:creationId xmlns:a16="http://schemas.microsoft.com/office/drawing/2014/main" id="{00000000-0008-0000-0200-00004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20</xdr:row>
          <xdr:rowOff>66675</xdr:rowOff>
        </xdr:from>
        <xdr:to>
          <xdr:col>7</xdr:col>
          <xdr:colOff>581025</xdr:colOff>
          <xdr:row>20</xdr:row>
          <xdr:rowOff>219075</xdr:rowOff>
        </xdr:to>
        <xdr:sp macro="" textlink="">
          <xdr:nvSpPr>
            <xdr:cNvPr id="19521" name="Option Button 65" hidden="1">
              <a:extLst>
                <a:ext uri="{63B3BB69-23CF-44E3-9099-C40C66FF867C}">
                  <a14:compatExt spid="_x0000_s19521"/>
                </a:ext>
                <a:ext uri="{FF2B5EF4-FFF2-40B4-BE49-F238E27FC236}">
                  <a16:creationId xmlns:a16="http://schemas.microsoft.com/office/drawing/2014/main" id="{00000000-0008-0000-0200-00004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21</xdr:row>
          <xdr:rowOff>47625</xdr:rowOff>
        </xdr:from>
        <xdr:to>
          <xdr:col>7</xdr:col>
          <xdr:colOff>333375</xdr:colOff>
          <xdr:row>21</xdr:row>
          <xdr:rowOff>219075</xdr:rowOff>
        </xdr:to>
        <xdr:sp macro="" textlink="">
          <xdr:nvSpPr>
            <xdr:cNvPr id="19522" name="Option Button 66" hidden="1">
              <a:extLst>
                <a:ext uri="{63B3BB69-23CF-44E3-9099-C40C66FF867C}">
                  <a14:compatExt spid="_x0000_s19522"/>
                </a:ext>
                <a:ext uri="{FF2B5EF4-FFF2-40B4-BE49-F238E27FC236}">
                  <a16:creationId xmlns:a16="http://schemas.microsoft.com/office/drawing/2014/main" id="{00000000-0008-0000-0200-00004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21</xdr:row>
          <xdr:rowOff>57150</xdr:rowOff>
        </xdr:from>
        <xdr:to>
          <xdr:col>7</xdr:col>
          <xdr:colOff>581025</xdr:colOff>
          <xdr:row>21</xdr:row>
          <xdr:rowOff>209550</xdr:rowOff>
        </xdr:to>
        <xdr:sp macro="" textlink="">
          <xdr:nvSpPr>
            <xdr:cNvPr id="19523" name="Option Button 67" hidden="1">
              <a:extLst>
                <a:ext uri="{63B3BB69-23CF-44E3-9099-C40C66FF867C}">
                  <a14:compatExt spid="_x0000_s19523"/>
                </a:ext>
                <a:ext uri="{FF2B5EF4-FFF2-40B4-BE49-F238E27FC236}">
                  <a16:creationId xmlns:a16="http://schemas.microsoft.com/office/drawing/2014/main" id="{00000000-0008-0000-0200-00004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22</xdr:row>
          <xdr:rowOff>47625</xdr:rowOff>
        </xdr:from>
        <xdr:to>
          <xdr:col>7</xdr:col>
          <xdr:colOff>342900</xdr:colOff>
          <xdr:row>22</xdr:row>
          <xdr:rowOff>219075</xdr:rowOff>
        </xdr:to>
        <xdr:sp macro="" textlink="">
          <xdr:nvSpPr>
            <xdr:cNvPr id="19524" name="Option Button 68" hidden="1">
              <a:extLst>
                <a:ext uri="{63B3BB69-23CF-44E3-9099-C40C66FF867C}">
                  <a14:compatExt spid="_x0000_s19524"/>
                </a:ext>
                <a:ext uri="{FF2B5EF4-FFF2-40B4-BE49-F238E27FC236}">
                  <a16:creationId xmlns:a16="http://schemas.microsoft.com/office/drawing/2014/main" id="{00000000-0008-0000-0200-00004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419100</xdr:colOff>
          <xdr:row>22</xdr:row>
          <xdr:rowOff>57150</xdr:rowOff>
        </xdr:from>
        <xdr:to>
          <xdr:col>7</xdr:col>
          <xdr:colOff>590550</xdr:colOff>
          <xdr:row>22</xdr:row>
          <xdr:rowOff>209550</xdr:rowOff>
        </xdr:to>
        <xdr:sp macro="" textlink="">
          <xdr:nvSpPr>
            <xdr:cNvPr id="19525" name="Option Button 69" hidden="1">
              <a:extLst>
                <a:ext uri="{63B3BB69-23CF-44E3-9099-C40C66FF867C}">
                  <a14:compatExt spid="_x0000_s19525"/>
                </a:ext>
                <a:ext uri="{FF2B5EF4-FFF2-40B4-BE49-F238E27FC236}">
                  <a16:creationId xmlns:a16="http://schemas.microsoft.com/office/drawing/2014/main" id="{00000000-0008-0000-0200-00004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8</xdr:row>
          <xdr:rowOff>76200</xdr:rowOff>
        </xdr:from>
        <xdr:to>
          <xdr:col>13</xdr:col>
          <xdr:colOff>314325</xdr:colOff>
          <xdr:row>8</xdr:row>
          <xdr:rowOff>247650</xdr:rowOff>
        </xdr:to>
        <xdr:sp macro="" textlink="">
          <xdr:nvSpPr>
            <xdr:cNvPr id="19526" name="Option Button 70" hidden="1">
              <a:extLst>
                <a:ext uri="{63B3BB69-23CF-44E3-9099-C40C66FF867C}">
                  <a14:compatExt spid="_x0000_s19526"/>
                </a:ext>
                <a:ext uri="{FF2B5EF4-FFF2-40B4-BE49-F238E27FC236}">
                  <a16:creationId xmlns:a16="http://schemas.microsoft.com/office/drawing/2014/main" id="{00000000-0008-0000-0200-00004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390525</xdr:colOff>
          <xdr:row>8</xdr:row>
          <xdr:rowOff>85725</xdr:rowOff>
        </xdr:from>
        <xdr:to>
          <xdr:col>13</xdr:col>
          <xdr:colOff>561975</xdr:colOff>
          <xdr:row>8</xdr:row>
          <xdr:rowOff>238125</xdr:rowOff>
        </xdr:to>
        <xdr:sp macro="" textlink="">
          <xdr:nvSpPr>
            <xdr:cNvPr id="19527" name="Option Button 71" hidden="1">
              <a:extLst>
                <a:ext uri="{63B3BB69-23CF-44E3-9099-C40C66FF867C}">
                  <a14:compatExt spid="_x0000_s19527"/>
                </a:ext>
                <a:ext uri="{FF2B5EF4-FFF2-40B4-BE49-F238E27FC236}">
                  <a16:creationId xmlns:a16="http://schemas.microsoft.com/office/drawing/2014/main" id="{00000000-0008-0000-0200-00004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9</xdr:row>
          <xdr:rowOff>47625</xdr:rowOff>
        </xdr:from>
        <xdr:to>
          <xdr:col>13</xdr:col>
          <xdr:colOff>314325</xdr:colOff>
          <xdr:row>9</xdr:row>
          <xdr:rowOff>219075</xdr:rowOff>
        </xdr:to>
        <xdr:sp macro="" textlink="">
          <xdr:nvSpPr>
            <xdr:cNvPr id="19530" name="Option Button 74" hidden="1">
              <a:extLst>
                <a:ext uri="{63B3BB69-23CF-44E3-9099-C40C66FF867C}">
                  <a14:compatExt spid="_x0000_s19530"/>
                </a:ext>
                <a:ext uri="{FF2B5EF4-FFF2-40B4-BE49-F238E27FC236}">
                  <a16:creationId xmlns:a16="http://schemas.microsoft.com/office/drawing/2014/main" id="{00000000-0008-0000-0200-00004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390525</xdr:colOff>
          <xdr:row>9</xdr:row>
          <xdr:rowOff>57150</xdr:rowOff>
        </xdr:from>
        <xdr:to>
          <xdr:col>13</xdr:col>
          <xdr:colOff>561975</xdr:colOff>
          <xdr:row>9</xdr:row>
          <xdr:rowOff>209550</xdr:rowOff>
        </xdr:to>
        <xdr:sp macro="" textlink="">
          <xdr:nvSpPr>
            <xdr:cNvPr id="19531" name="Option Button 75" hidden="1">
              <a:extLst>
                <a:ext uri="{63B3BB69-23CF-44E3-9099-C40C66FF867C}">
                  <a14:compatExt spid="_x0000_s19531"/>
                </a:ext>
                <a:ext uri="{FF2B5EF4-FFF2-40B4-BE49-F238E27FC236}">
                  <a16:creationId xmlns:a16="http://schemas.microsoft.com/office/drawing/2014/main" id="{00000000-0008-0000-0200-00004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10</xdr:row>
          <xdr:rowOff>57150</xdr:rowOff>
        </xdr:from>
        <xdr:to>
          <xdr:col>13</xdr:col>
          <xdr:colOff>323850</xdr:colOff>
          <xdr:row>10</xdr:row>
          <xdr:rowOff>228600</xdr:rowOff>
        </xdr:to>
        <xdr:sp macro="" textlink="">
          <xdr:nvSpPr>
            <xdr:cNvPr id="19532" name="Option Button 76" hidden="1">
              <a:extLst>
                <a:ext uri="{63B3BB69-23CF-44E3-9099-C40C66FF867C}">
                  <a14:compatExt spid="_x0000_s19532"/>
                </a:ext>
                <a:ext uri="{FF2B5EF4-FFF2-40B4-BE49-F238E27FC236}">
                  <a16:creationId xmlns:a16="http://schemas.microsoft.com/office/drawing/2014/main" id="{00000000-0008-0000-0200-00004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400050</xdr:colOff>
          <xdr:row>10</xdr:row>
          <xdr:rowOff>66675</xdr:rowOff>
        </xdr:from>
        <xdr:to>
          <xdr:col>13</xdr:col>
          <xdr:colOff>571500</xdr:colOff>
          <xdr:row>10</xdr:row>
          <xdr:rowOff>219075</xdr:rowOff>
        </xdr:to>
        <xdr:sp macro="" textlink="">
          <xdr:nvSpPr>
            <xdr:cNvPr id="19533" name="Option Button 77" hidden="1">
              <a:extLst>
                <a:ext uri="{63B3BB69-23CF-44E3-9099-C40C66FF867C}">
                  <a14:compatExt spid="_x0000_s19533"/>
                </a:ext>
                <a:ext uri="{FF2B5EF4-FFF2-40B4-BE49-F238E27FC236}">
                  <a16:creationId xmlns:a16="http://schemas.microsoft.com/office/drawing/2014/main" id="{00000000-0008-0000-0200-00004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11</xdr:row>
          <xdr:rowOff>47625</xdr:rowOff>
        </xdr:from>
        <xdr:to>
          <xdr:col>13</xdr:col>
          <xdr:colOff>314325</xdr:colOff>
          <xdr:row>11</xdr:row>
          <xdr:rowOff>219075</xdr:rowOff>
        </xdr:to>
        <xdr:sp macro="" textlink="">
          <xdr:nvSpPr>
            <xdr:cNvPr id="19534" name="Option Button 78" hidden="1">
              <a:extLst>
                <a:ext uri="{63B3BB69-23CF-44E3-9099-C40C66FF867C}">
                  <a14:compatExt spid="_x0000_s19534"/>
                </a:ext>
                <a:ext uri="{FF2B5EF4-FFF2-40B4-BE49-F238E27FC236}">
                  <a16:creationId xmlns:a16="http://schemas.microsoft.com/office/drawing/2014/main" id="{00000000-0008-0000-0200-00004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390525</xdr:colOff>
          <xdr:row>11</xdr:row>
          <xdr:rowOff>57150</xdr:rowOff>
        </xdr:from>
        <xdr:to>
          <xdr:col>13</xdr:col>
          <xdr:colOff>561975</xdr:colOff>
          <xdr:row>11</xdr:row>
          <xdr:rowOff>209550</xdr:rowOff>
        </xdr:to>
        <xdr:sp macro="" textlink="">
          <xdr:nvSpPr>
            <xdr:cNvPr id="19535" name="Option Button 79" hidden="1">
              <a:extLst>
                <a:ext uri="{63B3BB69-23CF-44E3-9099-C40C66FF867C}">
                  <a14:compatExt spid="_x0000_s19535"/>
                </a:ext>
                <a:ext uri="{FF2B5EF4-FFF2-40B4-BE49-F238E27FC236}">
                  <a16:creationId xmlns:a16="http://schemas.microsoft.com/office/drawing/2014/main" id="{00000000-0008-0000-0200-00004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12</xdr:row>
          <xdr:rowOff>38100</xdr:rowOff>
        </xdr:from>
        <xdr:to>
          <xdr:col>13</xdr:col>
          <xdr:colOff>314325</xdr:colOff>
          <xdr:row>12</xdr:row>
          <xdr:rowOff>209550</xdr:rowOff>
        </xdr:to>
        <xdr:sp macro="" textlink="">
          <xdr:nvSpPr>
            <xdr:cNvPr id="19536" name="Option Button 80" hidden="1">
              <a:extLst>
                <a:ext uri="{63B3BB69-23CF-44E3-9099-C40C66FF867C}">
                  <a14:compatExt spid="_x0000_s19536"/>
                </a:ext>
                <a:ext uri="{FF2B5EF4-FFF2-40B4-BE49-F238E27FC236}">
                  <a16:creationId xmlns:a16="http://schemas.microsoft.com/office/drawing/2014/main" id="{00000000-0008-0000-0200-00005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390525</xdr:colOff>
          <xdr:row>12</xdr:row>
          <xdr:rowOff>47625</xdr:rowOff>
        </xdr:from>
        <xdr:to>
          <xdr:col>13</xdr:col>
          <xdr:colOff>561975</xdr:colOff>
          <xdr:row>12</xdr:row>
          <xdr:rowOff>200025</xdr:rowOff>
        </xdr:to>
        <xdr:sp macro="" textlink="">
          <xdr:nvSpPr>
            <xdr:cNvPr id="19537" name="Option Button 81" hidden="1">
              <a:extLst>
                <a:ext uri="{63B3BB69-23CF-44E3-9099-C40C66FF867C}">
                  <a14:compatExt spid="_x0000_s19537"/>
                </a:ext>
                <a:ext uri="{FF2B5EF4-FFF2-40B4-BE49-F238E27FC236}">
                  <a16:creationId xmlns:a16="http://schemas.microsoft.com/office/drawing/2014/main" id="{00000000-0008-0000-0200-00005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13</xdr:row>
          <xdr:rowOff>66675</xdr:rowOff>
        </xdr:from>
        <xdr:to>
          <xdr:col>13</xdr:col>
          <xdr:colOff>314325</xdr:colOff>
          <xdr:row>13</xdr:row>
          <xdr:rowOff>238125</xdr:rowOff>
        </xdr:to>
        <xdr:sp macro="" textlink="">
          <xdr:nvSpPr>
            <xdr:cNvPr id="19538" name="Option Button 82" hidden="1">
              <a:extLst>
                <a:ext uri="{63B3BB69-23CF-44E3-9099-C40C66FF867C}">
                  <a14:compatExt spid="_x0000_s19538"/>
                </a:ext>
                <a:ext uri="{FF2B5EF4-FFF2-40B4-BE49-F238E27FC236}">
                  <a16:creationId xmlns:a16="http://schemas.microsoft.com/office/drawing/2014/main" id="{00000000-0008-0000-0200-00005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390525</xdr:colOff>
          <xdr:row>13</xdr:row>
          <xdr:rowOff>76200</xdr:rowOff>
        </xdr:from>
        <xdr:to>
          <xdr:col>13</xdr:col>
          <xdr:colOff>561975</xdr:colOff>
          <xdr:row>13</xdr:row>
          <xdr:rowOff>228600</xdr:rowOff>
        </xdr:to>
        <xdr:sp macro="" textlink="">
          <xdr:nvSpPr>
            <xdr:cNvPr id="19539" name="Option Button 83" hidden="1">
              <a:extLst>
                <a:ext uri="{63B3BB69-23CF-44E3-9099-C40C66FF867C}">
                  <a14:compatExt spid="_x0000_s19539"/>
                </a:ext>
                <a:ext uri="{FF2B5EF4-FFF2-40B4-BE49-F238E27FC236}">
                  <a16:creationId xmlns:a16="http://schemas.microsoft.com/office/drawing/2014/main" id="{00000000-0008-0000-0200-00005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14</xdr:row>
          <xdr:rowOff>76200</xdr:rowOff>
        </xdr:from>
        <xdr:to>
          <xdr:col>13</xdr:col>
          <xdr:colOff>314325</xdr:colOff>
          <xdr:row>14</xdr:row>
          <xdr:rowOff>247650</xdr:rowOff>
        </xdr:to>
        <xdr:sp macro="" textlink="">
          <xdr:nvSpPr>
            <xdr:cNvPr id="19540" name="Option Button 84" hidden="1">
              <a:extLst>
                <a:ext uri="{63B3BB69-23CF-44E3-9099-C40C66FF867C}">
                  <a14:compatExt spid="_x0000_s19540"/>
                </a:ext>
                <a:ext uri="{FF2B5EF4-FFF2-40B4-BE49-F238E27FC236}">
                  <a16:creationId xmlns:a16="http://schemas.microsoft.com/office/drawing/2014/main" id="{00000000-0008-0000-0200-00005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390525</xdr:colOff>
          <xdr:row>14</xdr:row>
          <xdr:rowOff>85725</xdr:rowOff>
        </xdr:from>
        <xdr:to>
          <xdr:col>13</xdr:col>
          <xdr:colOff>561975</xdr:colOff>
          <xdr:row>14</xdr:row>
          <xdr:rowOff>238125</xdr:rowOff>
        </xdr:to>
        <xdr:sp macro="" textlink="">
          <xdr:nvSpPr>
            <xdr:cNvPr id="19541" name="Option Button 85" hidden="1">
              <a:extLst>
                <a:ext uri="{63B3BB69-23CF-44E3-9099-C40C66FF867C}">
                  <a14:compatExt spid="_x0000_s19541"/>
                </a:ext>
                <a:ext uri="{FF2B5EF4-FFF2-40B4-BE49-F238E27FC236}">
                  <a16:creationId xmlns:a16="http://schemas.microsoft.com/office/drawing/2014/main" id="{00000000-0008-0000-0200-00005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15</xdr:row>
          <xdr:rowOff>66675</xdr:rowOff>
        </xdr:from>
        <xdr:to>
          <xdr:col>13</xdr:col>
          <xdr:colOff>323850</xdr:colOff>
          <xdr:row>15</xdr:row>
          <xdr:rowOff>238125</xdr:rowOff>
        </xdr:to>
        <xdr:sp macro="" textlink="">
          <xdr:nvSpPr>
            <xdr:cNvPr id="19542" name="Option Button 86" hidden="1">
              <a:extLst>
                <a:ext uri="{63B3BB69-23CF-44E3-9099-C40C66FF867C}">
                  <a14:compatExt spid="_x0000_s19542"/>
                </a:ext>
                <a:ext uri="{FF2B5EF4-FFF2-40B4-BE49-F238E27FC236}">
                  <a16:creationId xmlns:a16="http://schemas.microsoft.com/office/drawing/2014/main" id="{00000000-0008-0000-0200-00005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400050</xdr:colOff>
          <xdr:row>15</xdr:row>
          <xdr:rowOff>76200</xdr:rowOff>
        </xdr:from>
        <xdr:to>
          <xdr:col>13</xdr:col>
          <xdr:colOff>571500</xdr:colOff>
          <xdr:row>15</xdr:row>
          <xdr:rowOff>228600</xdr:rowOff>
        </xdr:to>
        <xdr:sp macro="" textlink="">
          <xdr:nvSpPr>
            <xdr:cNvPr id="19543" name="Option Button 87" hidden="1">
              <a:extLst>
                <a:ext uri="{63B3BB69-23CF-44E3-9099-C40C66FF867C}">
                  <a14:compatExt spid="_x0000_s19543"/>
                </a:ext>
                <a:ext uri="{FF2B5EF4-FFF2-40B4-BE49-F238E27FC236}">
                  <a16:creationId xmlns:a16="http://schemas.microsoft.com/office/drawing/2014/main" id="{00000000-0008-0000-0200-00005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16</xdr:row>
          <xdr:rowOff>57150</xdr:rowOff>
        </xdr:from>
        <xdr:to>
          <xdr:col>13</xdr:col>
          <xdr:colOff>323850</xdr:colOff>
          <xdr:row>16</xdr:row>
          <xdr:rowOff>228600</xdr:rowOff>
        </xdr:to>
        <xdr:sp macro="" textlink="">
          <xdr:nvSpPr>
            <xdr:cNvPr id="19544" name="Option Button 88" hidden="1">
              <a:extLst>
                <a:ext uri="{63B3BB69-23CF-44E3-9099-C40C66FF867C}">
                  <a14:compatExt spid="_x0000_s19544"/>
                </a:ext>
                <a:ext uri="{FF2B5EF4-FFF2-40B4-BE49-F238E27FC236}">
                  <a16:creationId xmlns:a16="http://schemas.microsoft.com/office/drawing/2014/main" id="{00000000-0008-0000-0200-00005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400050</xdr:colOff>
          <xdr:row>16</xdr:row>
          <xdr:rowOff>66675</xdr:rowOff>
        </xdr:from>
        <xdr:to>
          <xdr:col>13</xdr:col>
          <xdr:colOff>571500</xdr:colOff>
          <xdr:row>16</xdr:row>
          <xdr:rowOff>219075</xdr:rowOff>
        </xdr:to>
        <xdr:sp macro="" textlink="">
          <xdr:nvSpPr>
            <xdr:cNvPr id="19545" name="Option Button 89" hidden="1">
              <a:extLst>
                <a:ext uri="{63B3BB69-23CF-44E3-9099-C40C66FF867C}">
                  <a14:compatExt spid="_x0000_s19545"/>
                </a:ext>
                <a:ext uri="{FF2B5EF4-FFF2-40B4-BE49-F238E27FC236}">
                  <a16:creationId xmlns:a16="http://schemas.microsoft.com/office/drawing/2014/main" id="{00000000-0008-0000-0200-00005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17</xdr:row>
          <xdr:rowOff>57150</xdr:rowOff>
        </xdr:from>
        <xdr:to>
          <xdr:col>13</xdr:col>
          <xdr:colOff>323850</xdr:colOff>
          <xdr:row>17</xdr:row>
          <xdr:rowOff>228600</xdr:rowOff>
        </xdr:to>
        <xdr:sp macro="" textlink="">
          <xdr:nvSpPr>
            <xdr:cNvPr id="19546" name="Option Button 90" hidden="1">
              <a:extLst>
                <a:ext uri="{63B3BB69-23CF-44E3-9099-C40C66FF867C}">
                  <a14:compatExt spid="_x0000_s19546"/>
                </a:ext>
                <a:ext uri="{FF2B5EF4-FFF2-40B4-BE49-F238E27FC236}">
                  <a16:creationId xmlns:a16="http://schemas.microsoft.com/office/drawing/2014/main" id="{00000000-0008-0000-0200-00005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400050</xdr:colOff>
          <xdr:row>17</xdr:row>
          <xdr:rowOff>66675</xdr:rowOff>
        </xdr:from>
        <xdr:to>
          <xdr:col>13</xdr:col>
          <xdr:colOff>571500</xdr:colOff>
          <xdr:row>17</xdr:row>
          <xdr:rowOff>219075</xdr:rowOff>
        </xdr:to>
        <xdr:sp macro="" textlink="">
          <xdr:nvSpPr>
            <xdr:cNvPr id="19547" name="Option Button 91" hidden="1">
              <a:extLst>
                <a:ext uri="{63B3BB69-23CF-44E3-9099-C40C66FF867C}">
                  <a14:compatExt spid="_x0000_s19547"/>
                </a:ext>
                <a:ext uri="{FF2B5EF4-FFF2-40B4-BE49-F238E27FC236}">
                  <a16:creationId xmlns:a16="http://schemas.microsoft.com/office/drawing/2014/main" id="{00000000-0008-0000-0200-00005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18</xdr:row>
          <xdr:rowOff>38100</xdr:rowOff>
        </xdr:from>
        <xdr:to>
          <xdr:col>13</xdr:col>
          <xdr:colOff>323850</xdr:colOff>
          <xdr:row>18</xdr:row>
          <xdr:rowOff>209550</xdr:rowOff>
        </xdr:to>
        <xdr:sp macro="" textlink="">
          <xdr:nvSpPr>
            <xdr:cNvPr id="19548" name="Option Button 92" hidden="1">
              <a:extLst>
                <a:ext uri="{63B3BB69-23CF-44E3-9099-C40C66FF867C}">
                  <a14:compatExt spid="_x0000_s19548"/>
                </a:ext>
                <a:ext uri="{FF2B5EF4-FFF2-40B4-BE49-F238E27FC236}">
                  <a16:creationId xmlns:a16="http://schemas.microsoft.com/office/drawing/2014/main" id="{00000000-0008-0000-0200-00005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400050</xdr:colOff>
          <xdr:row>18</xdr:row>
          <xdr:rowOff>47625</xdr:rowOff>
        </xdr:from>
        <xdr:to>
          <xdr:col>13</xdr:col>
          <xdr:colOff>571500</xdr:colOff>
          <xdr:row>18</xdr:row>
          <xdr:rowOff>200025</xdr:rowOff>
        </xdr:to>
        <xdr:sp macro="" textlink="">
          <xdr:nvSpPr>
            <xdr:cNvPr id="19549" name="Option Button 93" hidden="1">
              <a:extLst>
                <a:ext uri="{63B3BB69-23CF-44E3-9099-C40C66FF867C}">
                  <a14:compatExt spid="_x0000_s19549"/>
                </a:ext>
                <a:ext uri="{FF2B5EF4-FFF2-40B4-BE49-F238E27FC236}">
                  <a16:creationId xmlns:a16="http://schemas.microsoft.com/office/drawing/2014/main" id="{00000000-0008-0000-0200-00005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19</xdr:row>
          <xdr:rowOff>47625</xdr:rowOff>
        </xdr:from>
        <xdr:to>
          <xdr:col>13</xdr:col>
          <xdr:colOff>323850</xdr:colOff>
          <xdr:row>19</xdr:row>
          <xdr:rowOff>219075</xdr:rowOff>
        </xdr:to>
        <xdr:sp macro="" textlink="">
          <xdr:nvSpPr>
            <xdr:cNvPr id="19550" name="Option Button 94" hidden="1">
              <a:extLst>
                <a:ext uri="{63B3BB69-23CF-44E3-9099-C40C66FF867C}">
                  <a14:compatExt spid="_x0000_s19550"/>
                </a:ext>
                <a:ext uri="{FF2B5EF4-FFF2-40B4-BE49-F238E27FC236}">
                  <a16:creationId xmlns:a16="http://schemas.microsoft.com/office/drawing/2014/main" id="{00000000-0008-0000-0200-00005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400050</xdr:colOff>
          <xdr:row>19</xdr:row>
          <xdr:rowOff>57150</xdr:rowOff>
        </xdr:from>
        <xdr:to>
          <xdr:col>13</xdr:col>
          <xdr:colOff>571500</xdr:colOff>
          <xdr:row>19</xdr:row>
          <xdr:rowOff>209550</xdr:rowOff>
        </xdr:to>
        <xdr:sp macro="" textlink="">
          <xdr:nvSpPr>
            <xdr:cNvPr id="19551" name="Option Button 95" hidden="1">
              <a:extLst>
                <a:ext uri="{63B3BB69-23CF-44E3-9099-C40C66FF867C}">
                  <a14:compatExt spid="_x0000_s19551"/>
                </a:ext>
                <a:ext uri="{FF2B5EF4-FFF2-40B4-BE49-F238E27FC236}">
                  <a16:creationId xmlns:a16="http://schemas.microsoft.com/office/drawing/2014/main" id="{00000000-0008-0000-0200-00005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20</xdr:row>
          <xdr:rowOff>57150</xdr:rowOff>
        </xdr:from>
        <xdr:to>
          <xdr:col>13</xdr:col>
          <xdr:colOff>323850</xdr:colOff>
          <xdr:row>20</xdr:row>
          <xdr:rowOff>228600</xdr:rowOff>
        </xdr:to>
        <xdr:sp macro="" textlink="">
          <xdr:nvSpPr>
            <xdr:cNvPr id="19552" name="Option Button 96" hidden="1">
              <a:extLst>
                <a:ext uri="{63B3BB69-23CF-44E3-9099-C40C66FF867C}">
                  <a14:compatExt spid="_x0000_s19552"/>
                </a:ext>
                <a:ext uri="{FF2B5EF4-FFF2-40B4-BE49-F238E27FC236}">
                  <a16:creationId xmlns:a16="http://schemas.microsoft.com/office/drawing/2014/main" id="{00000000-0008-0000-0200-00006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400050</xdr:colOff>
          <xdr:row>20</xdr:row>
          <xdr:rowOff>66675</xdr:rowOff>
        </xdr:from>
        <xdr:to>
          <xdr:col>13</xdr:col>
          <xdr:colOff>571500</xdr:colOff>
          <xdr:row>20</xdr:row>
          <xdr:rowOff>219075</xdr:rowOff>
        </xdr:to>
        <xdr:sp macro="" textlink="">
          <xdr:nvSpPr>
            <xdr:cNvPr id="19553" name="Option Button 97" hidden="1">
              <a:extLst>
                <a:ext uri="{63B3BB69-23CF-44E3-9099-C40C66FF867C}">
                  <a14:compatExt spid="_x0000_s19553"/>
                </a:ext>
                <a:ext uri="{FF2B5EF4-FFF2-40B4-BE49-F238E27FC236}">
                  <a16:creationId xmlns:a16="http://schemas.microsoft.com/office/drawing/2014/main" id="{00000000-0008-0000-0200-00006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171450</xdr:colOff>
          <xdr:row>21</xdr:row>
          <xdr:rowOff>57150</xdr:rowOff>
        </xdr:from>
        <xdr:to>
          <xdr:col>13</xdr:col>
          <xdr:colOff>333375</xdr:colOff>
          <xdr:row>21</xdr:row>
          <xdr:rowOff>228600</xdr:rowOff>
        </xdr:to>
        <xdr:sp macro="" textlink="">
          <xdr:nvSpPr>
            <xdr:cNvPr id="19554" name="Option Button 98" hidden="1">
              <a:extLst>
                <a:ext uri="{63B3BB69-23CF-44E3-9099-C40C66FF867C}">
                  <a14:compatExt spid="_x0000_s19554"/>
                </a:ext>
                <a:ext uri="{FF2B5EF4-FFF2-40B4-BE49-F238E27FC236}">
                  <a16:creationId xmlns:a16="http://schemas.microsoft.com/office/drawing/2014/main" id="{00000000-0008-0000-0200-00006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409575</xdr:colOff>
          <xdr:row>21</xdr:row>
          <xdr:rowOff>66675</xdr:rowOff>
        </xdr:from>
        <xdr:to>
          <xdr:col>13</xdr:col>
          <xdr:colOff>581025</xdr:colOff>
          <xdr:row>21</xdr:row>
          <xdr:rowOff>219075</xdr:rowOff>
        </xdr:to>
        <xdr:sp macro="" textlink="">
          <xdr:nvSpPr>
            <xdr:cNvPr id="19555" name="Option Button 99" hidden="1">
              <a:extLst>
                <a:ext uri="{63B3BB69-23CF-44E3-9099-C40C66FF867C}">
                  <a14:compatExt spid="_x0000_s19555"/>
                </a:ext>
                <a:ext uri="{FF2B5EF4-FFF2-40B4-BE49-F238E27FC236}">
                  <a16:creationId xmlns:a16="http://schemas.microsoft.com/office/drawing/2014/main" id="{00000000-0008-0000-0200-00006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22</xdr:row>
          <xdr:rowOff>47625</xdr:rowOff>
        </xdr:from>
        <xdr:to>
          <xdr:col>13</xdr:col>
          <xdr:colOff>323850</xdr:colOff>
          <xdr:row>22</xdr:row>
          <xdr:rowOff>219075</xdr:rowOff>
        </xdr:to>
        <xdr:sp macro="" textlink="">
          <xdr:nvSpPr>
            <xdr:cNvPr id="19556" name="Option Button 100" hidden="1">
              <a:extLst>
                <a:ext uri="{63B3BB69-23CF-44E3-9099-C40C66FF867C}">
                  <a14:compatExt spid="_x0000_s19556"/>
                </a:ext>
                <a:ext uri="{FF2B5EF4-FFF2-40B4-BE49-F238E27FC236}">
                  <a16:creationId xmlns:a16="http://schemas.microsoft.com/office/drawing/2014/main" id="{00000000-0008-0000-0200-00006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400050</xdr:colOff>
          <xdr:row>22</xdr:row>
          <xdr:rowOff>57150</xdr:rowOff>
        </xdr:from>
        <xdr:to>
          <xdr:col>13</xdr:col>
          <xdr:colOff>571500</xdr:colOff>
          <xdr:row>22</xdr:row>
          <xdr:rowOff>209550</xdr:rowOff>
        </xdr:to>
        <xdr:sp macro="" textlink="">
          <xdr:nvSpPr>
            <xdr:cNvPr id="19557" name="Option Button 101" hidden="1">
              <a:extLst>
                <a:ext uri="{63B3BB69-23CF-44E3-9099-C40C66FF867C}">
                  <a14:compatExt spid="_x0000_s19557"/>
                </a:ext>
                <a:ext uri="{FF2B5EF4-FFF2-40B4-BE49-F238E27FC236}">
                  <a16:creationId xmlns:a16="http://schemas.microsoft.com/office/drawing/2014/main" id="{00000000-0008-0000-0200-00006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9</xdr:row>
          <xdr:rowOff>38100</xdr:rowOff>
        </xdr:from>
        <xdr:to>
          <xdr:col>2</xdr:col>
          <xdr:colOff>600075</xdr:colOff>
          <xdr:row>9</xdr:row>
          <xdr:rowOff>257175</xdr:rowOff>
        </xdr:to>
        <xdr:sp macro="" textlink="">
          <xdr:nvSpPr>
            <xdr:cNvPr id="19558" name="Group Box 102" hidden="1">
              <a:extLst>
                <a:ext uri="{63B3BB69-23CF-44E3-9099-C40C66FF867C}">
                  <a14:compatExt spid="_x0000_s19558"/>
                </a:ext>
                <a:ext uri="{FF2B5EF4-FFF2-40B4-BE49-F238E27FC236}">
                  <a16:creationId xmlns:a16="http://schemas.microsoft.com/office/drawing/2014/main" id="{00000000-0008-0000-0200-00006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10</xdr:row>
          <xdr:rowOff>9525</xdr:rowOff>
        </xdr:from>
        <xdr:to>
          <xdr:col>2</xdr:col>
          <xdr:colOff>609600</xdr:colOff>
          <xdr:row>10</xdr:row>
          <xdr:rowOff>238125</xdr:rowOff>
        </xdr:to>
        <xdr:sp macro="" textlink="">
          <xdr:nvSpPr>
            <xdr:cNvPr id="19559" name="Group Box 103" hidden="1">
              <a:extLst>
                <a:ext uri="{63B3BB69-23CF-44E3-9099-C40C66FF867C}">
                  <a14:compatExt spid="_x0000_s19559"/>
                </a:ext>
                <a:ext uri="{FF2B5EF4-FFF2-40B4-BE49-F238E27FC236}">
                  <a16:creationId xmlns:a16="http://schemas.microsoft.com/office/drawing/2014/main" id="{00000000-0008-0000-0200-00006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11</xdr:row>
          <xdr:rowOff>9525</xdr:rowOff>
        </xdr:from>
        <xdr:to>
          <xdr:col>2</xdr:col>
          <xdr:colOff>619125</xdr:colOff>
          <xdr:row>11</xdr:row>
          <xdr:rowOff>228600</xdr:rowOff>
        </xdr:to>
        <xdr:sp macro="" textlink="">
          <xdr:nvSpPr>
            <xdr:cNvPr id="19560" name="Group Box 104" hidden="1">
              <a:extLst>
                <a:ext uri="{63B3BB69-23CF-44E3-9099-C40C66FF867C}">
                  <a14:compatExt spid="_x0000_s19560"/>
                </a:ext>
                <a:ext uri="{FF2B5EF4-FFF2-40B4-BE49-F238E27FC236}">
                  <a16:creationId xmlns:a16="http://schemas.microsoft.com/office/drawing/2014/main" id="{00000000-0008-0000-0200-00006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12</xdr:row>
          <xdr:rowOff>0</xdr:rowOff>
        </xdr:from>
        <xdr:to>
          <xdr:col>2</xdr:col>
          <xdr:colOff>609600</xdr:colOff>
          <xdr:row>12</xdr:row>
          <xdr:rowOff>228600</xdr:rowOff>
        </xdr:to>
        <xdr:sp macro="" textlink="">
          <xdr:nvSpPr>
            <xdr:cNvPr id="19561" name="Group Box 105" hidden="1">
              <a:extLst>
                <a:ext uri="{63B3BB69-23CF-44E3-9099-C40C66FF867C}">
                  <a14:compatExt spid="_x0000_s19561"/>
                </a:ext>
                <a:ext uri="{FF2B5EF4-FFF2-40B4-BE49-F238E27FC236}">
                  <a16:creationId xmlns:a16="http://schemas.microsoft.com/office/drawing/2014/main" id="{00000000-0008-0000-0200-00006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13</xdr:row>
          <xdr:rowOff>38100</xdr:rowOff>
        </xdr:from>
        <xdr:to>
          <xdr:col>2</xdr:col>
          <xdr:colOff>609600</xdr:colOff>
          <xdr:row>13</xdr:row>
          <xdr:rowOff>257175</xdr:rowOff>
        </xdr:to>
        <xdr:sp macro="" textlink="">
          <xdr:nvSpPr>
            <xdr:cNvPr id="19562" name="Group Box 106" hidden="1">
              <a:extLst>
                <a:ext uri="{63B3BB69-23CF-44E3-9099-C40C66FF867C}">
                  <a14:compatExt spid="_x0000_s19562"/>
                </a:ext>
                <a:ext uri="{FF2B5EF4-FFF2-40B4-BE49-F238E27FC236}">
                  <a16:creationId xmlns:a16="http://schemas.microsoft.com/office/drawing/2014/main" id="{00000000-0008-0000-0200-00006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14</xdr:row>
          <xdr:rowOff>19050</xdr:rowOff>
        </xdr:from>
        <xdr:to>
          <xdr:col>2</xdr:col>
          <xdr:colOff>619125</xdr:colOff>
          <xdr:row>14</xdr:row>
          <xdr:rowOff>238125</xdr:rowOff>
        </xdr:to>
        <xdr:sp macro="" textlink="">
          <xdr:nvSpPr>
            <xdr:cNvPr id="19563" name="Group Box 107" hidden="1">
              <a:extLst>
                <a:ext uri="{63B3BB69-23CF-44E3-9099-C40C66FF867C}">
                  <a14:compatExt spid="_x0000_s19563"/>
                </a:ext>
                <a:ext uri="{FF2B5EF4-FFF2-40B4-BE49-F238E27FC236}">
                  <a16:creationId xmlns:a16="http://schemas.microsoft.com/office/drawing/2014/main" id="{00000000-0008-0000-0200-00006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15</xdr:row>
          <xdr:rowOff>19050</xdr:rowOff>
        </xdr:from>
        <xdr:to>
          <xdr:col>2</xdr:col>
          <xdr:colOff>628650</xdr:colOff>
          <xdr:row>15</xdr:row>
          <xdr:rowOff>238125</xdr:rowOff>
        </xdr:to>
        <xdr:sp macro="" textlink="">
          <xdr:nvSpPr>
            <xdr:cNvPr id="19564" name="Group Box 108" hidden="1">
              <a:extLst>
                <a:ext uri="{63B3BB69-23CF-44E3-9099-C40C66FF867C}">
                  <a14:compatExt spid="_x0000_s19564"/>
                </a:ext>
                <a:ext uri="{FF2B5EF4-FFF2-40B4-BE49-F238E27FC236}">
                  <a16:creationId xmlns:a16="http://schemas.microsoft.com/office/drawing/2014/main" id="{00000000-0008-0000-0200-00006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16</xdr:row>
          <xdr:rowOff>19050</xdr:rowOff>
        </xdr:from>
        <xdr:to>
          <xdr:col>2</xdr:col>
          <xdr:colOff>619125</xdr:colOff>
          <xdr:row>16</xdr:row>
          <xdr:rowOff>238125</xdr:rowOff>
        </xdr:to>
        <xdr:sp macro="" textlink="">
          <xdr:nvSpPr>
            <xdr:cNvPr id="19565" name="Group Box 109" hidden="1">
              <a:extLst>
                <a:ext uri="{63B3BB69-23CF-44E3-9099-C40C66FF867C}">
                  <a14:compatExt spid="_x0000_s19565"/>
                </a:ext>
                <a:ext uri="{FF2B5EF4-FFF2-40B4-BE49-F238E27FC236}">
                  <a16:creationId xmlns:a16="http://schemas.microsoft.com/office/drawing/2014/main" id="{00000000-0008-0000-0200-00006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17</xdr:row>
          <xdr:rowOff>38100</xdr:rowOff>
        </xdr:from>
        <xdr:to>
          <xdr:col>2</xdr:col>
          <xdr:colOff>619125</xdr:colOff>
          <xdr:row>17</xdr:row>
          <xdr:rowOff>257175</xdr:rowOff>
        </xdr:to>
        <xdr:sp macro="" textlink="">
          <xdr:nvSpPr>
            <xdr:cNvPr id="19566" name="Group Box 110" hidden="1">
              <a:extLst>
                <a:ext uri="{63B3BB69-23CF-44E3-9099-C40C66FF867C}">
                  <a14:compatExt spid="_x0000_s19566"/>
                </a:ext>
                <a:ext uri="{FF2B5EF4-FFF2-40B4-BE49-F238E27FC236}">
                  <a16:creationId xmlns:a16="http://schemas.microsoft.com/office/drawing/2014/main" id="{00000000-0008-0000-0200-00006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18</xdr:row>
          <xdr:rowOff>28575</xdr:rowOff>
        </xdr:from>
        <xdr:to>
          <xdr:col>2</xdr:col>
          <xdr:colOff>628650</xdr:colOff>
          <xdr:row>18</xdr:row>
          <xdr:rowOff>247650</xdr:rowOff>
        </xdr:to>
        <xdr:sp macro="" textlink="">
          <xdr:nvSpPr>
            <xdr:cNvPr id="19567" name="Group Box 111" hidden="1">
              <a:extLst>
                <a:ext uri="{63B3BB69-23CF-44E3-9099-C40C66FF867C}">
                  <a14:compatExt spid="_x0000_s19567"/>
                </a:ext>
                <a:ext uri="{FF2B5EF4-FFF2-40B4-BE49-F238E27FC236}">
                  <a16:creationId xmlns:a16="http://schemas.microsoft.com/office/drawing/2014/main" id="{00000000-0008-0000-0200-00006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19</xdr:row>
          <xdr:rowOff>28575</xdr:rowOff>
        </xdr:from>
        <xdr:to>
          <xdr:col>2</xdr:col>
          <xdr:colOff>628650</xdr:colOff>
          <xdr:row>19</xdr:row>
          <xdr:rowOff>247650</xdr:rowOff>
        </xdr:to>
        <xdr:sp macro="" textlink="">
          <xdr:nvSpPr>
            <xdr:cNvPr id="19568" name="Group Box 112" hidden="1">
              <a:extLst>
                <a:ext uri="{63B3BB69-23CF-44E3-9099-C40C66FF867C}">
                  <a14:compatExt spid="_x0000_s19568"/>
                </a:ext>
                <a:ext uri="{FF2B5EF4-FFF2-40B4-BE49-F238E27FC236}">
                  <a16:creationId xmlns:a16="http://schemas.microsoft.com/office/drawing/2014/main" id="{00000000-0008-0000-0200-00007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20</xdr:row>
          <xdr:rowOff>19050</xdr:rowOff>
        </xdr:from>
        <xdr:to>
          <xdr:col>2</xdr:col>
          <xdr:colOff>628650</xdr:colOff>
          <xdr:row>20</xdr:row>
          <xdr:rowOff>238125</xdr:rowOff>
        </xdr:to>
        <xdr:sp macro="" textlink="">
          <xdr:nvSpPr>
            <xdr:cNvPr id="19569" name="Group Box 113" hidden="1">
              <a:extLst>
                <a:ext uri="{63B3BB69-23CF-44E3-9099-C40C66FF867C}">
                  <a14:compatExt spid="_x0000_s19569"/>
                </a:ext>
                <a:ext uri="{FF2B5EF4-FFF2-40B4-BE49-F238E27FC236}">
                  <a16:creationId xmlns:a16="http://schemas.microsoft.com/office/drawing/2014/main" id="{00000000-0008-0000-0200-00007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21</xdr:row>
          <xdr:rowOff>19050</xdr:rowOff>
        </xdr:from>
        <xdr:to>
          <xdr:col>2</xdr:col>
          <xdr:colOff>628650</xdr:colOff>
          <xdr:row>21</xdr:row>
          <xdr:rowOff>238125</xdr:rowOff>
        </xdr:to>
        <xdr:sp macro="" textlink="">
          <xdr:nvSpPr>
            <xdr:cNvPr id="19570" name="Group Box 114" hidden="1">
              <a:extLst>
                <a:ext uri="{63B3BB69-23CF-44E3-9099-C40C66FF867C}">
                  <a14:compatExt spid="_x0000_s19570"/>
                </a:ext>
                <a:ext uri="{FF2B5EF4-FFF2-40B4-BE49-F238E27FC236}">
                  <a16:creationId xmlns:a16="http://schemas.microsoft.com/office/drawing/2014/main" id="{00000000-0008-0000-0200-00007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22</xdr:row>
          <xdr:rowOff>9525</xdr:rowOff>
        </xdr:from>
        <xdr:to>
          <xdr:col>2</xdr:col>
          <xdr:colOff>628650</xdr:colOff>
          <xdr:row>22</xdr:row>
          <xdr:rowOff>228600</xdr:rowOff>
        </xdr:to>
        <xdr:sp macro="" textlink="">
          <xdr:nvSpPr>
            <xdr:cNvPr id="19571" name="Group Box 115" hidden="1">
              <a:extLst>
                <a:ext uri="{63B3BB69-23CF-44E3-9099-C40C66FF867C}">
                  <a14:compatExt spid="_x0000_s19571"/>
                </a:ext>
                <a:ext uri="{FF2B5EF4-FFF2-40B4-BE49-F238E27FC236}">
                  <a16:creationId xmlns:a16="http://schemas.microsoft.com/office/drawing/2014/main" id="{00000000-0008-0000-0200-00007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8</xdr:row>
          <xdr:rowOff>28575</xdr:rowOff>
        </xdr:from>
        <xdr:to>
          <xdr:col>7</xdr:col>
          <xdr:colOff>628650</xdr:colOff>
          <xdr:row>8</xdr:row>
          <xdr:rowOff>247650</xdr:rowOff>
        </xdr:to>
        <xdr:sp macro="" textlink="">
          <xdr:nvSpPr>
            <xdr:cNvPr id="19572" name="Group Box 116" hidden="1">
              <a:extLst>
                <a:ext uri="{63B3BB69-23CF-44E3-9099-C40C66FF867C}">
                  <a14:compatExt spid="_x0000_s19572"/>
                </a:ext>
                <a:ext uri="{FF2B5EF4-FFF2-40B4-BE49-F238E27FC236}">
                  <a16:creationId xmlns:a16="http://schemas.microsoft.com/office/drawing/2014/main" id="{00000000-0008-0000-0200-00007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9</xdr:row>
          <xdr:rowOff>9525</xdr:rowOff>
        </xdr:from>
        <xdr:to>
          <xdr:col>7</xdr:col>
          <xdr:colOff>628650</xdr:colOff>
          <xdr:row>9</xdr:row>
          <xdr:rowOff>228600</xdr:rowOff>
        </xdr:to>
        <xdr:sp macro="" textlink="">
          <xdr:nvSpPr>
            <xdr:cNvPr id="19573" name="Group Box 117" hidden="1">
              <a:extLst>
                <a:ext uri="{63B3BB69-23CF-44E3-9099-C40C66FF867C}">
                  <a14:compatExt spid="_x0000_s19573"/>
                </a:ext>
                <a:ext uri="{FF2B5EF4-FFF2-40B4-BE49-F238E27FC236}">
                  <a16:creationId xmlns:a16="http://schemas.microsoft.com/office/drawing/2014/main" id="{00000000-0008-0000-0200-00007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10</xdr:row>
          <xdr:rowOff>19050</xdr:rowOff>
        </xdr:from>
        <xdr:to>
          <xdr:col>7</xdr:col>
          <xdr:colOff>628650</xdr:colOff>
          <xdr:row>10</xdr:row>
          <xdr:rowOff>238125</xdr:rowOff>
        </xdr:to>
        <xdr:sp macro="" textlink="">
          <xdr:nvSpPr>
            <xdr:cNvPr id="19574" name="Group Box 118" hidden="1">
              <a:extLst>
                <a:ext uri="{63B3BB69-23CF-44E3-9099-C40C66FF867C}">
                  <a14:compatExt spid="_x0000_s19574"/>
                </a:ext>
                <a:ext uri="{FF2B5EF4-FFF2-40B4-BE49-F238E27FC236}">
                  <a16:creationId xmlns:a16="http://schemas.microsoft.com/office/drawing/2014/main" id="{00000000-0008-0000-0200-00007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11</xdr:row>
          <xdr:rowOff>19050</xdr:rowOff>
        </xdr:from>
        <xdr:to>
          <xdr:col>7</xdr:col>
          <xdr:colOff>628650</xdr:colOff>
          <xdr:row>11</xdr:row>
          <xdr:rowOff>238125</xdr:rowOff>
        </xdr:to>
        <xdr:sp macro="" textlink="">
          <xdr:nvSpPr>
            <xdr:cNvPr id="19575" name="Group Box 119" hidden="1">
              <a:extLst>
                <a:ext uri="{63B3BB69-23CF-44E3-9099-C40C66FF867C}">
                  <a14:compatExt spid="_x0000_s19575"/>
                </a:ext>
                <a:ext uri="{FF2B5EF4-FFF2-40B4-BE49-F238E27FC236}">
                  <a16:creationId xmlns:a16="http://schemas.microsoft.com/office/drawing/2014/main" id="{00000000-0008-0000-0200-00007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12</xdr:row>
          <xdr:rowOff>19050</xdr:rowOff>
        </xdr:from>
        <xdr:to>
          <xdr:col>7</xdr:col>
          <xdr:colOff>628650</xdr:colOff>
          <xdr:row>12</xdr:row>
          <xdr:rowOff>238125</xdr:rowOff>
        </xdr:to>
        <xdr:sp macro="" textlink="">
          <xdr:nvSpPr>
            <xdr:cNvPr id="19576" name="Group Box 120" hidden="1">
              <a:extLst>
                <a:ext uri="{63B3BB69-23CF-44E3-9099-C40C66FF867C}">
                  <a14:compatExt spid="_x0000_s19576"/>
                </a:ext>
                <a:ext uri="{FF2B5EF4-FFF2-40B4-BE49-F238E27FC236}">
                  <a16:creationId xmlns:a16="http://schemas.microsoft.com/office/drawing/2014/main" id="{00000000-0008-0000-0200-00007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13</xdr:row>
          <xdr:rowOff>38100</xdr:rowOff>
        </xdr:from>
        <xdr:to>
          <xdr:col>7</xdr:col>
          <xdr:colOff>628650</xdr:colOff>
          <xdr:row>13</xdr:row>
          <xdr:rowOff>257175</xdr:rowOff>
        </xdr:to>
        <xdr:sp macro="" textlink="">
          <xdr:nvSpPr>
            <xdr:cNvPr id="19577" name="Group Box 121" hidden="1">
              <a:extLst>
                <a:ext uri="{63B3BB69-23CF-44E3-9099-C40C66FF867C}">
                  <a14:compatExt spid="_x0000_s19577"/>
                </a:ext>
                <a:ext uri="{FF2B5EF4-FFF2-40B4-BE49-F238E27FC236}">
                  <a16:creationId xmlns:a16="http://schemas.microsoft.com/office/drawing/2014/main" id="{00000000-0008-0000-0200-00007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14</xdr:row>
          <xdr:rowOff>38100</xdr:rowOff>
        </xdr:from>
        <xdr:to>
          <xdr:col>7</xdr:col>
          <xdr:colOff>628650</xdr:colOff>
          <xdr:row>14</xdr:row>
          <xdr:rowOff>257175</xdr:rowOff>
        </xdr:to>
        <xdr:sp macro="" textlink="">
          <xdr:nvSpPr>
            <xdr:cNvPr id="19578" name="Group Box 122" hidden="1">
              <a:extLst>
                <a:ext uri="{63B3BB69-23CF-44E3-9099-C40C66FF867C}">
                  <a14:compatExt spid="_x0000_s19578"/>
                </a:ext>
                <a:ext uri="{FF2B5EF4-FFF2-40B4-BE49-F238E27FC236}">
                  <a16:creationId xmlns:a16="http://schemas.microsoft.com/office/drawing/2014/main" id="{00000000-0008-0000-0200-00007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15</xdr:row>
          <xdr:rowOff>19050</xdr:rowOff>
        </xdr:from>
        <xdr:to>
          <xdr:col>7</xdr:col>
          <xdr:colOff>638175</xdr:colOff>
          <xdr:row>15</xdr:row>
          <xdr:rowOff>238125</xdr:rowOff>
        </xdr:to>
        <xdr:sp macro="" textlink="">
          <xdr:nvSpPr>
            <xdr:cNvPr id="19579" name="Group Box 123" hidden="1">
              <a:extLst>
                <a:ext uri="{63B3BB69-23CF-44E3-9099-C40C66FF867C}">
                  <a14:compatExt spid="_x0000_s19579"/>
                </a:ext>
                <a:ext uri="{FF2B5EF4-FFF2-40B4-BE49-F238E27FC236}">
                  <a16:creationId xmlns:a16="http://schemas.microsoft.com/office/drawing/2014/main" id="{00000000-0008-0000-0200-00007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16</xdr:row>
          <xdr:rowOff>28575</xdr:rowOff>
        </xdr:from>
        <xdr:to>
          <xdr:col>7</xdr:col>
          <xdr:colOff>638175</xdr:colOff>
          <xdr:row>16</xdr:row>
          <xdr:rowOff>247650</xdr:rowOff>
        </xdr:to>
        <xdr:sp macro="" textlink="">
          <xdr:nvSpPr>
            <xdr:cNvPr id="19580" name="Group Box 124" hidden="1">
              <a:extLst>
                <a:ext uri="{63B3BB69-23CF-44E3-9099-C40C66FF867C}">
                  <a14:compatExt spid="_x0000_s19580"/>
                </a:ext>
                <a:ext uri="{FF2B5EF4-FFF2-40B4-BE49-F238E27FC236}">
                  <a16:creationId xmlns:a16="http://schemas.microsoft.com/office/drawing/2014/main" id="{00000000-0008-0000-0200-00007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17</xdr:row>
          <xdr:rowOff>38100</xdr:rowOff>
        </xdr:from>
        <xdr:to>
          <xdr:col>7</xdr:col>
          <xdr:colOff>628650</xdr:colOff>
          <xdr:row>17</xdr:row>
          <xdr:rowOff>257175</xdr:rowOff>
        </xdr:to>
        <xdr:sp macro="" textlink="">
          <xdr:nvSpPr>
            <xdr:cNvPr id="19581" name="Group Box 125" hidden="1">
              <a:extLst>
                <a:ext uri="{63B3BB69-23CF-44E3-9099-C40C66FF867C}">
                  <a14:compatExt spid="_x0000_s19581"/>
                </a:ext>
                <a:ext uri="{FF2B5EF4-FFF2-40B4-BE49-F238E27FC236}">
                  <a16:creationId xmlns:a16="http://schemas.microsoft.com/office/drawing/2014/main" id="{00000000-0008-0000-0200-00007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18</xdr:row>
          <xdr:rowOff>38100</xdr:rowOff>
        </xdr:from>
        <xdr:to>
          <xdr:col>7</xdr:col>
          <xdr:colOff>638175</xdr:colOff>
          <xdr:row>18</xdr:row>
          <xdr:rowOff>257175</xdr:rowOff>
        </xdr:to>
        <xdr:sp macro="" textlink="">
          <xdr:nvSpPr>
            <xdr:cNvPr id="19582" name="Group Box 126" hidden="1">
              <a:extLst>
                <a:ext uri="{63B3BB69-23CF-44E3-9099-C40C66FF867C}">
                  <a14:compatExt spid="_x0000_s19582"/>
                </a:ext>
                <a:ext uri="{FF2B5EF4-FFF2-40B4-BE49-F238E27FC236}">
                  <a16:creationId xmlns:a16="http://schemas.microsoft.com/office/drawing/2014/main" id="{00000000-0008-0000-0200-00007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19</xdr:row>
          <xdr:rowOff>47625</xdr:rowOff>
        </xdr:from>
        <xdr:to>
          <xdr:col>7</xdr:col>
          <xdr:colOff>638175</xdr:colOff>
          <xdr:row>20</xdr:row>
          <xdr:rowOff>0</xdr:rowOff>
        </xdr:to>
        <xdr:sp macro="" textlink="">
          <xdr:nvSpPr>
            <xdr:cNvPr id="19583" name="Group Box 127" hidden="1">
              <a:extLst>
                <a:ext uri="{63B3BB69-23CF-44E3-9099-C40C66FF867C}">
                  <a14:compatExt spid="_x0000_s19583"/>
                </a:ext>
                <a:ext uri="{FF2B5EF4-FFF2-40B4-BE49-F238E27FC236}">
                  <a16:creationId xmlns:a16="http://schemas.microsoft.com/office/drawing/2014/main" id="{00000000-0008-0000-0200-00007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20</xdr:row>
          <xdr:rowOff>28575</xdr:rowOff>
        </xdr:from>
        <xdr:to>
          <xdr:col>7</xdr:col>
          <xdr:colOff>638175</xdr:colOff>
          <xdr:row>20</xdr:row>
          <xdr:rowOff>247650</xdr:rowOff>
        </xdr:to>
        <xdr:sp macro="" textlink="">
          <xdr:nvSpPr>
            <xdr:cNvPr id="19584" name="Group Box 128" hidden="1">
              <a:extLst>
                <a:ext uri="{63B3BB69-23CF-44E3-9099-C40C66FF867C}">
                  <a14:compatExt spid="_x0000_s19584"/>
                </a:ext>
                <a:ext uri="{FF2B5EF4-FFF2-40B4-BE49-F238E27FC236}">
                  <a16:creationId xmlns:a16="http://schemas.microsoft.com/office/drawing/2014/main" id="{00000000-0008-0000-0200-00008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21</xdr:row>
          <xdr:rowOff>28575</xdr:rowOff>
        </xdr:from>
        <xdr:to>
          <xdr:col>7</xdr:col>
          <xdr:colOff>638175</xdr:colOff>
          <xdr:row>21</xdr:row>
          <xdr:rowOff>247650</xdr:rowOff>
        </xdr:to>
        <xdr:sp macro="" textlink="">
          <xdr:nvSpPr>
            <xdr:cNvPr id="19585" name="Group Box 129" hidden="1">
              <a:extLst>
                <a:ext uri="{63B3BB69-23CF-44E3-9099-C40C66FF867C}">
                  <a14:compatExt spid="_x0000_s19585"/>
                </a:ext>
                <a:ext uri="{FF2B5EF4-FFF2-40B4-BE49-F238E27FC236}">
                  <a16:creationId xmlns:a16="http://schemas.microsoft.com/office/drawing/2014/main" id="{00000000-0008-0000-0200-00008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22</xdr:row>
          <xdr:rowOff>28575</xdr:rowOff>
        </xdr:from>
        <xdr:to>
          <xdr:col>7</xdr:col>
          <xdr:colOff>638175</xdr:colOff>
          <xdr:row>22</xdr:row>
          <xdr:rowOff>247650</xdr:rowOff>
        </xdr:to>
        <xdr:sp macro="" textlink="">
          <xdr:nvSpPr>
            <xdr:cNvPr id="19586" name="Group Box 130" hidden="1">
              <a:extLst>
                <a:ext uri="{63B3BB69-23CF-44E3-9099-C40C66FF867C}">
                  <a14:compatExt spid="_x0000_s19586"/>
                </a:ext>
                <a:ext uri="{FF2B5EF4-FFF2-40B4-BE49-F238E27FC236}">
                  <a16:creationId xmlns:a16="http://schemas.microsoft.com/office/drawing/2014/main" id="{00000000-0008-0000-0200-00008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8</xdr:row>
          <xdr:rowOff>47625</xdr:rowOff>
        </xdr:from>
        <xdr:to>
          <xdr:col>13</xdr:col>
          <xdr:colOff>628650</xdr:colOff>
          <xdr:row>9</xdr:row>
          <xdr:rowOff>0</xdr:rowOff>
        </xdr:to>
        <xdr:sp macro="" textlink="">
          <xdr:nvSpPr>
            <xdr:cNvPr id="19587" name="Group Box 131" hidden="1">
              <a:extLst>
                <a:ext uri="{63B3BB69-23CF-44E3-9099-C40C66FF867C}">
                  <a14:compatExt spid="_x0000_s19587"/>
                </a:ext>
                <a:ext uri="{FF2B5EF4-FFF2-40B4-BE49-F238E27FC236}">
                  <a16:creationId xmlns:a16="http://schemas.microsoft.com/office/drawing/2014/main" id="{00000000-0008-0000-0200-00008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9</xdr:row>
          <xdr:rowOff>28575</xdr:rowOff>
        </xdr:from>
        <xdr:to>
          <xdr:col>13</xdr:col>
          <xdr:colOff>628650</xdr:colOff>
          <xdr:row>9</xdr:row>
          <xdr:rowOff>247650</xdr:rowOff>
        </xdr:to>
        <xdr:sp macro="" textlink="">
          <xdr:nvSpPr>
            <xdr:cNvPr id="19588" name="Group Box 132" hidden="1">
              <a:extLst>
                <a:ext uri="{63B3BB69-23CF-44E3-9099-C40C66FF867C}">
                  <a14:compatExt spid="_x0000_s19588"/>
                </a:ext>
                <a:ext uri="{FF2B5EF4-FFF2-40B4-BE49-F238E27FC236}">
                  <a16:creationId xmlns:a16="http://schemas.microsoft.com/office/drawing/2014/main" id="{00000000-0008-0000-0200-00008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10</xdr:row>
          <xdr:rowOff>19050</xdr:rowOff>
        </xdr:from>
        <xdr:to>
          <xdr:col>13</xdr:col>
          <xdr:colOff>628650</xdr:colOff>
          <xdr:row>10</xdr:row>
          <xdr:rowOff>238125</xdr:rowOff>
        </xdr:to>
        <xdr:sp macro="" textlink="">
          <xdr:nvSpPr>
            <xdr:cNvPr id="19589" name="Group Box 133" hidden="1">
              <a:extLst>
                <a:ext uri="{63B3BB69-23CF-44E3-9099-C40C66FF867C}">
                  <a14:compatExt spid="_x0000_s19589"/>
                </a:ext>
                <a:ext uri="{FF2B5EF4-FFF2-40B4-BE49-F238E27FC236}">
                  <a16:creationId xmlns:a16="http://schemas.microsoft.com/office/drawing/2014/main" id="{00000000-0008-0000-0200-00008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11</xdr:row>
          <xdr:rowOff>19050</xdr:rowOff>
        </xdr:from>
        <xdr:to>
          <xdr:col>13</xdr:col>
          <xdr:colOff>628650</xdr:colOff>
          <xdr:row>11</xdr:row>
          <xdr:rowOff>238125</xdr:rowOff>
        </xdr:to>
        <xdr:sp macro="" textlink="">
          <xdr:nvSpPr>
            <xdr:cNvPr id="19590" name="Group Box 134" hidden="1">
              <a:extLst>
                <a:ext uri="{63B3BB69-23CF-44E3-9099-C40C66FF867C}">
                  <a14:compatExt spid="_x0000_s19590"/>
                </a:ext>
                <a:ext uri="{FF2B5EF4-FFF2-40B4-BE49-F238E27FC236}">
                  <a16:creationId xmlns:a16="http://schemas.microsoft.com/office/drawing/2014/main" id="{00000000-0008-0000-0200-00008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12</xdr:row>
          <xdr:rowOff>19050</xdr:rowOff>
        </xdr:from>
        <xdr:to>
          <xdr:col>13</xdr:col>
          <xdr:colOff>628650</xdr:colOff>
          <xdr:row>12</xdr:row>
          <xdr:rowOff>238125</xdr:rowOff>
        </xdr:to>
        <xdr:sp macro="" textlink="">
          <xdr:nvSpPr>
            <xdr:cNvPr id="19591" name="Group Box 135" hidden="1">
              <a:extLst>
                <a:ext uri="{63B3BB69-23CF-44E3-9099-C40C66FF867C}">
                  <a14:compatExt spid="_x0000_s19591"/>
                </a:ext>
                <a:ext uri="{FF2B5EF4-FFF2-40B4-BE49-F238E27FC236}">
                  <a16:creationId xmlns:a16="http://schemas.microsoft.com/office/drawing/2014/main" id="{00000000-0008-0000-0200-00008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13</xdr:row>
          <xdr:rowOff>38100</xdr:rowOff>
        </xdr:from>
        <xdr:to>
          <xdr:col>13</xdr:col>
          <xdr:colOff>628650</xdr:colOff>
          <xdr:row>13</xdr:row>
          <xdr:rowOff>257175</xdr:rowOff>
        </xdr:to>
        <xdr:sp macro="" textlink="">
          <xdr:nvSpPr>
            <xdr:cNvPr id="19593" name="Group Box 137" hidden="1">
              <a:extLst>
                <a:ext uri="{63B3BB69-23CF-44E3-9099-C40C66FF867C}">
                  <a14:compatExt spid="_x0000_s19593"/>
                </a:ext>
                <a:ext uri="{FF2B5EF4-FFF2-40B4-BE49-F238E27FC236}">
                  <a16:creationId xmlns:a16="http://schemas.microsoft.com/office/drawing/2014/main" id="{00000000-0008-0000-0200-00008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14</xdr:row>
          <xdr:rowOff>47625</xdr:rowOff>
        </xdr:from>
        <xdr:to>
          <xdr:col>13</xdr:col>
          <xdr:colOff>628650</xdr:colOff>
          <xdr:row>15</xdr:row>
          <xdr:rowOff>0</xdr:rowOff>
        </xdr:to>
        <xdr:sp macro="" textlink="">
          <xdr:nvSpPr>
            <xdr:cNvPr id="19594" name="Group Box 138" hidden="1">
              <a:extLst>
                <a:ext uri="{63B3BB69-23CF-44E3-9099-C40C66FF867C}">
                  <a14:compatExt spid="_x0000_s19594"/>
                </a:ext>
                <a:ext uri="{FF2B5EF4-FFF2-40B4-BE49-F238E27FC236}">
                  <a16:creationId xmlns:a16="http://schemas.microsoft.com/office/drawing/2014/main" id="{00000000-0008-0000-0200-00008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15</xdr:row>
          <xdr:rowOff>47625</xdr:rowOff>
        </xdr:from>
        <xdr:to>
          <xdr:col>13</xdr:col>
          <xdr:colOff>628650</xdr:colOff>
          <xdr:row>16</xdr:row>
          <xdr:rowOff>0</xdr:rowOff>
        </xdr:to>
        <xdr:sp macro="" textlink="">
          <xdr:nvSpPr>
            <xdr:cNvPr id="19595" name="Group Box 139" hidden="1">
              <a:extLst>
                <a:ext uri="{63B3BB69-23CF-44E3-9099-C40C66FF867C}">
                  <a14:compatExt spid="_x0000_s19595"/>
                </a:ext>
                <a:ext uri="{FF2B5EF4-FFF2-40B4-BE49-F238E27FC236}">
                  <a16:creationId xmlns:a16="http://schemas.microsoft.com/office/drawing/2014/main" id="{00000000-0008-0000-0200-00008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16</xdr:row>
          <xdr:rowOff>28575</xdr:rowOff>
        </xdr:from>
        <xdr:to>
          <xdr:col>13</xdr:col>
          <xdr:colOff>638175</xdr:colOff>
          <xdr:row>16</xdr:row>
          <xdr:rowOff>247650</xdr:rowOff>
        </xdr:to>
        <xdr:sp macro="" textlink="">
          <xdr:nvSpPr>
            <xdr:cNvPr id="19596" name="Group Box 140" hidden="1">
              <a:extLst>
                <a:ext uri="{63B3BB69-23CF-44E3-9099-C40C66FF867C}">
                  <a14:compatExt spid="_x0000_s19596"/>
                </a:ext>
                <a:ext uri="{FF2B5EF4-FFF2-40B4-BE49-F238E27FC236}">
                  <a16:creationId xmlns:a16="http://schemas.microsoft.com/office/drawing/2014/main" id="{00000000-0008-0000-0200-00008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17</xdr:row>
          <xdr:rowOff>28575</xdr:rowOff>
        </xdr:from>
        <xdr:to>
          <xdr:col>13</xdr:col>
          <xdr:colOff>628650</xdr:colOff>
          <xdr:row>17</xdr:row>
          <xdr:rowOff>247650</xdr:rowOff>
        </xdr:to>
        <xdr:sp macro="" textlink="">
          <xdr:nvSpPr>
            <xdr:cNvPr id="19597" name="Group Box 141" hidden="1">
              <a:extLst>
                <a:ext uri="{63B3BB69-23CF-44E3-9099-C40C66FF867C}">
                  <a14:compatExt spid="_x0000_s19597"/>
                </a:ext>
                <a:ext uri="{FF2B5EF4-FFF2-40B4-BE49-F238E27FC236}">
                  <a16:creationId xmlns:a16="http://schemas.microsoft.com/office/drawing/2014/main" id="{00000000-0008-0000-0200-00008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18</xdr:row>
          <xdr:rowOff>19050</xdr:rowOff>
        </xdr:from>
        <xdr:to>
          <xdr:col>13</xdr:col>
          <xdr:colOff>638175</xdr:colOff>
          <xdr:row>18</xdr:row>
          <xdr:rowOff>238125</xdr:rowOff>
        </xdr:to>
        <xdr:sp macro="" textlink="">
          <xdr:nvSpPr>
            <xdr:cNvPr id="19598" name="Group Box 142" hidden="1">
              <a:extLst>
                <a:ext uri="{63B3BB69-23CF-44E3-9099-C40C66FF867C}">
                  <a14:compatExt spid="_x0000_s19598"/>
                </a:ext>
                <a:ext uri="{FF2B5EF4-FFF2-40B4-BE49-F238E27FC236}">
                  <a16:creationId xmlns:a16="http://schemas.microsoft.com/office/drawing/2014/main" id="{00000000-0008-0000-0200-00008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19</xdr:row>
          <xdr:rowOff>28575</xdr:rowOff>
        </xdr:from>
        <xdr:to>
          <xdr:col>13</xdr:col>
          <xdr:colOff>638175</xdr:colOff>
          <xdr:row>19</xdr:row>
          <xdr:rowOff>247650</xdr:rowOff>
        </xdr:to>
        <xdr:sp macro="" textlink="">
          <xdr:nvSpPr>
            <xdr:cNvPr id="19599" name="Group Box 143" hidden="1">
              <a:extLst>
                <a:ext uri="{63B3BB69-23CF-44E3-9099-C40C66FF867C}">
                  <a14:compatExt spid="_x0000_s19599"/>
                </a:ext>
                <a:ext uri="{FF2B5EF4-FFF2-40B4-BE49-F238E27FC236}">
                  <a16:creationId xmlns:a16="http://schemas.microsoft.com/office/drawing/2014/main" id="{00000000-0008-0000-0200-00008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20</xdr:row>
          <xdr:rowOff>28575</xdr:rowOff>
        </xdr:from>
        <xdr:to>
          <xdr:col>13</xdr:col>
          <xdr:colOff>638175</xdr:colOff>
          <xdr:row>20</xdr:row>
          <xdr:rowOff>247650</xdr:rowOff>
        </xdr:to>
        <xdr:sp macro="" textlink="">
          <xdr:nvSpPr>
            <xdr:cNvPr id="19600" name="Group Box 144" hidden="1">
              <a:extLst>
                <a:ext uri="{63B3BB69-23CF-44E3-9099-C40C66FF867C}">
                  <a14:compatExt spid="_x0000_s19600"/>
                </a:ext>
                <a:ext uri="{FF2B5EF4-FFF2-40B4-BE49-F238E27FC236}">
                  <a16:creationId xmlns:a16="http://schemas.microsoft.com/office/drawing/2014/main" id="{00000000-0008-0000-0200-00009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21</xdr:row>
          <xdr:rowOff>38100</xdr:rowOff>
        </xdr:from>
        <xdr:to>
          <xdr:col>13</xdr:col>
          <xdr:colOff>638175</xdr:colOff>
          <xdr:row>21</xdr:row>
          <xdr:rowOff>257175</xdr:rowOff>
        </xdr:to>
        <xdr:sp macro="" textlink="">
          <xdr:nvSpPr>
            <xdr:cNvPr id="19601" name="Group Box 145" hidden="1">
              <a:extLst>
                <a:ext uri="{63B3BB69-23CF-44E3-9099-C40C66FF867C}">
                  <a14:compatExt spid="_x0000_s19601"/>
                </a:ext>
                <a:ext uri="{FF2B5EF4-FFF2-40B4-BE49-F238E27FC236}">
                  <a16:creationId xmlns:a16="http://schemas.microsoft.com/office/drawing/2014/main" id="{00000000-0008-0000-0200-00009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22</xdr:row>
          <xdr:rowOff>19050</xdr:rowOff>
        </xdr:from>
        <xdr:to>
          <xdr:col>13</xdr:col>
          <xdr:colOff>638175</xdr:colOff>
          <xdr:row>22</xdr:row>
          <xdr:rowOff>238125</xdr:rowOff>
        </xdr:to>
        <xdr:sp macro="" textlink="">
          <xdr:nvSpPr>
            <xdr:cNvPr id="19602" name="Group Box 146" hidden="1">
              <a:extLst>
                <a:ext uri="{63B3BB69-23CF-44E3-9099-C40C66FF867C}">
                  <a14:compatExt spid="_x0000_s19602"/>
                </a:ext>
                <a:ext uri="{FF2B5EF4-FFF2-40B4-BE49-F238E27FC236}">
                  <a16:creationId xmlns:a16="http://schemas.microsoft.com/office/drawing/2014/main" id="{00000000-0008-0000-0200-00009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952495</xdr:colOff>
      <xdr:row>32</xdr:row>
      <xdr:rowOff>74538</xdr:rowOff>
    </xdr:from>
    <xdr:ext cx="25795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7684208" y="9546027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9</xdr:col>
      <xdr:colOff>1313660</xdr:colOff>
      <xdr:row>32</xdr:row>
      <xdr:rowOff>71274</xdr:rowOff>
    </xdr:from>
    <xdr:ext cx="27757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8045373" y="9542763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xdr:oneCellAnchor>
    <xdr:from>
      <xdr:col>15</xdr:col>
      <xdr:colOff>159544</xdr:colOff>
      <xdr:row>32</xdr:row>
      <xdr:rowOff>54486</xdr:rowOff>
    </xdr:from>
    <xdr:ext cx="257956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>
          <a:off x="12566892" y="6539769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15</xdr:col>
      <xdr:colOff>528993</xdr:colOff>
      <xdr:row>32</xdr:row>
      <xdr:rowOff>56234</xdr:rowOff>
    </xdr:from>
    <xdr:ext cx="277576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12936341" y="6541517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xdr:oneCellAnchor>
    <xdr:from>
      <xdr:col>9</xdr:col>
      <xdr:colOff>952495</xdr:colOff>
      <xdr:row>42</xdr:row>
      <xdr:rowOff>15139</xdr:rowOff>
    </xdr:from>
    <xdr:ext cx="257956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/>
      </xdr:nvSpPr>
      <xdr:spPr>
        <a:xfrm>
          <a:off x="7684208" y="11809015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9</xdr:col>
      <xdr:colOff>1313660</xdr:colOff>
      <xdr:row>42</xdr:row>
      <xdr:rowOff>11875</xdr:rowOff>
    </xdr:from>
    <xdr:ext cx="277576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/>
      </xdr:nvSpPr>
      <xdr:spPr>
        <a:xfrm>
          <a:off x="8045373" y="11805751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xdr:oneCellAnchor>
    <xdr:from>
      <xdr:col>9</xdr:col>
      <xdr:colOff>952495</xdr:colOff>
      <xdr:row>52</xdr:row>
      <xdr:rowOff>23536</xdr:rowOff>
    </xdr:from>
    <xdr:ext cx="257956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/>
      </xdr:nvSpPr>
      <xdr:spPr>
        <a:xfrm>
          <a:off x="7684208" y="14225418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9</xdr:col>
      <xdr:colOff>1313660</xdr:colOff>
      <xdr:row>52</xdr:row>
      <xdr:rowOff>20272</xdr:rowOff>
    </xdr:from>
    <xdr:ext cx="277576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/>
      </xdr:nvSpPr>
      <xdr:spPr>
        <a:xfrm>
          <a:off x="8045373" y="14222154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xdr:oneCellAnchor>
    <xdr:from>
      <xdr:col>9</xdr:col>
      <xdr:colOff>934030</xdr:colOff>
      <xdr:row>61</xdr:row>
      <xdr:rowOff>131958</xdr:rowOff>
    </xdr:from>
    <xdr:ext cx="257956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/>
      </xdr:nvSpPr>
      <xdr:spPr>
        <a:xfrm>
          <a:off x="8107716" y="14381358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9</xdr:col>
      <xdr:colOff>1295195</xdr:colOff>
      <xdr:row>61</xdr:row>
      <xdr:rowOff>138219</xdr:rowOff>
    </xdr:from>
    <xdr:ext cx="277576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/>
      </xdr:nvSpPr>
      <xdr:spPr>
        <a:xfrm>
          <a:off x="8468881" y="14387619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xdr:oneCellAnchor>
    <xdr:from>
      <xdr:col>15</xdr:col>
      <xdr:colOff>120195</xdr:colOff>
      <xdr:row>41</xdr:row>
      <xdr:rowOff>91024</xdr:rowOff>
    </xdr:from>
    <xdr:ext cx="257956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/>
      </xdr:nvSpPr>
      <xdr:spPr>
        <a:xfrm>
          <a:off x="11710729" y="11735069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15</xdr:col>
      <xdr:colOff>499168</xdr:colOff>
      <xdr:row>41</xdr:row>
      <xdr:rowOff>92773</xdr:rowOff>
    </xdr:from>
    <xdr:ext cx="277576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/>
      </xdr:nvSpPr>
      <xdr:spPr>
        <a:xfrm>
          <a:off x="12089702" y="11736818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xdr:oneCellAnchor>
    <xdr:from>
      <xdr:col>15</xdr:col>
      <xdr:colOff>182722</xdr:colOff>
      <xdr:row>51</xdr:row>
      <xdr:rowOff>177271</xdr:rowOff>
    </xdr:from>
    <xdr:ext cx="257956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/>
      </xdr:nvSpPr>
      <xdr:spPr>
        <a:xfrm>
          <a:off x="12590070" y="11557575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15</xdr:col>
      <xdr:colOff>502474</xdr:colOff>
      <xdr:row>51</xdr:row>
      <xdr:rowOff>187303</xdr:rowOff>
    </xdr:from>
    <xdr:ext cx="277576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/>
      </xdr:nvSpPr>
      <xdr:spPr>
        <a:xfrm>
          <a:off x="12909822" y="11567607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xdr:oneCellAnchor>
    <xdr:from>
      <xdr:col>15</xdr:col>
      <xdr:colOff>194310</xdr:colOff>
      <xdr:row>61</xdr:row>
      <xdr:rowOff>151338</xdr:rowOff>
    </xdr:from>
    <xdr:ext cx="257956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/>
      </xdr:nvSpPr>
      <xdr:spPr>
        <a:xfrm>
          <a:off x="12601658" y="14107534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15</xdr:col>
      <xdr:colOff>497497</xdr:colOff>
      <xdr:row>61</xdr:row>
      <xdr:rowOff>153087</xdr:rowOff>
    </xdr:from>
    <xdr:ext cx="277576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/>
      </xdr:nvSpPr>
      <xdr:spPr>
        <a:xfrm>
          <a:off x="13277326" y="14402487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990600</xdr:colOff>
          <xdr:row>33</xdr:row>
          <xdr:rowOff>19050</xdr:rowOff>
        </xdr:from>
        <xdr:to>
          <xdr:col>9</xdr:col>
          <xdr:colOff>1219200</xdr:colOff>
          <xdr:row>33</xdr:row>
          <xdr:rowOff>219075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1352550</xdr:colOff>
          <xdr:row>33</xdr:row>
          <xdr:rowOff>19050</xdr:rowOff>
        </xdr:from>
        <xdr:to>
          <xdr:col>9</xdr:col>
          <xdr:colOff>1571625</xdr:colOff>
          <xdr:row>33</xdr:row>
          <xdr:rowOff>219075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942975</xdr:colOff>
          <xdr:row>33</xdr:row>
          <xdr:rowOff>0</xdr:rowOff>
        </xdr:from>
        <xdr:to>
          <xdr:col>9</xdr:col>
          <xdr:colOff>1600200</xdr:colOff>
          <xdr:row>33</xdr:row>
          <xdr:rowOff>247650</xdr:rowOff>
        </xdr:to>
        <xdr:sp macro="" textlink="">
          <xdr:nvSpPr>
            <xdr:cNvPr id="2051" name="Group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33</xdr:row>
          <xdr:rowOff>19050</xdr:rowOff>
        </xdr:from>
        <xdr:to>
          <xdr:col>15</xdr:col>
          <xdr:colOff>419100</xdr:colOff>
          <xdr:row>33</xdr:row>
          <xdr:rowOff>238125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33</xdr:row>
          <xdr:rowOff>19050</xdr:rowOff>
        </xdr:from>
        <xdr:to>
          <xdr:col>15</xdr:col>
          <xdr:colOff>790575</xdr:colOff>
          <xdr:row>33</xdr:row>
          <xdr:rowOff>228600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33</xdr:row>
          <xdr:rowOff>0</xdr:rowOff>
        </xdr:from>
        <xdr:to>
          <xdr:col>15</xdr:col>
          <xdr:colOff>819150</xdr:colOff>
          <xdr:row>33</xdr:row>
          <xdr:rowOff>247650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990600</xdr:colOff>
          <xdr:row>34</xdr:row>
          <xdr:rowOff>28575</xdr:rowOff>
        </xdr:from>
        <xdr:to>
          <xdr:col>9</xdr:col>
          <xdr:colOff>1238250</xdr:colOff>
          <xdr:row>34</xdr:row>
          <xdr:rowOff>247650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1343025</xdr:colOff>
          <xdr:row>34</xdr:row>
          <xdr:rowOff>28575</xdr:rowOff>
        </xdr:from>
        <xdr:to>
          <xdr:col>9</xdr:col>
          <xdr:colOff>1581150</xdr:colOff>
          <xdr:row>34</xdr:row>
          <xdr:rowOff>247650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990600</xdr:colOff>
          <xdr:row>35</xdr:row>
          <xdr:rowOff>57150</xdr:rowOff>
        </xdr:from>
        <xdr:to>
          <xdr:col>9</xdr:col>
          <xdr:colOff>1238250</xdr:colOff>
          <xdr:row>35</xdr:row>
          <xdr:rowOff>247650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3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1323975</xdr:colOff>
          <xdr:row>35</xdr:row>
          <xdr:rowOff>57150</xdr:rowOff>
        </xdr:from>
        <xdr:to>
          <xdr:col>9</xdr:col>
          <xdr:colOff>1562100</xdr:colOff>
          <xdr:row>35</xdr:row>
          <xdr:rowOff>247650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962025</xdr:colOff>
          <xdr:row>35</xdr:row>
          <xdr:rowOff>19050</xdr:rowOff>
        </xdr:from>
        <xdr:to>
          <xdr:col>9</xdr:col>
          <xdr:colOff>1590675</xdr:colOff>
          <xdr:row>36</xdr:row>
          <xdr:rowOff>0</xdr:rowOff>
        </xdr:to>
        <xdr:sp macro="" textlink="">
          <xdr:nvSpPr>
            <xdr:cNvPr id="2061" name="Group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34</xdr:row>
          <xdr:rowOff>28575</xdr:rowOff>
        </xdr:from>
        <xdr:to>
          <xdr:col>15</xdr:col>
          <xdr:colOff>409575</xdr:colOff>
          <xdr:row>34</xdr:row>
          <xdr:rowOff>247650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561975</xdr:colOff>
          <xdr:row>34</xdr:row>
          <xdr:rowOff>28575</xdr:rowOff>
        </xdr:from>
        <xdr:to>
          <xdr:col>15</xdr:col>
          <xdr:colOff>781050</xdr:colOff>
          <xdr:row>34</xdr:row>
          <xdr:rowOff>247650</xdr:rowOff>
        </xdr:to>
        <xdr:sp macro="" textlink="">
          <xdr:nvSpPr>
            <xdr:cNvPr id="2064" name="Option Butto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34</xdr:row>
          <xdr:rowOff>19050</xdr:rowOff>
        </xdr:from>
        <xdr:to>
          <xdr:col>15</xdr:col>
          <xdr:colOff>809625</xdr:colOff>
          <xdr:row>34</xdr:row>
          <xdr:rowOff>257175</xdr:rowOff>
        </xdr:to>
        <xdr:sp macro="" textlink="">
          <xdr:nvSpPr>
            <xdr:cNvPr id="2065" name="Group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981075</xdr:colOff>
          <xdr:row>42</xdr:row>
          <xdr:rowOff>238125</xdr:rowOff>
        </xdr:from>
        <xdr:to>
          <xdr:col>9</xdr:col>
          <xdr:colOff>1228725</xdr:colOff>
          <xdr:row>43</xdr:row>
          <xdr:rowOff>190500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1314450</xdr:colOff>
          <xdr:row>42</xdr:row>
          <xdr:rowOff>238125</xdr:rowOff>
        </xdr:from>
        <xdr:to>
          <xdr:col>9</xdr:col>
          <xdr:colOff>1552575</xdr:colOff>
          <xdr:row>43</xdr:row>
          <xdr:rowOff>190500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971550</xdr:colOff>
          <xdr:row>43</xdr:row>
          <xdr:rowOff>228600</xdr:rowOff>
        </xdr:from>
        <xdr:to>
          <xdr:col>9</xdr:col>
          <xdr:colOff>1219200</xdr:colOff>
          <xdr:row>44</xdr:row>
          <xdr:rowOff>190500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1304925</xdr:colOff>
          <xdr:row>43</xdr:row>
          <xdr:rowOff>228600</xdr:rowOff>
        </xdr:from>
        <xdr:to>
          <xdr:col>9</xdr:col>
          <xdr:colOff>1543050</xdr:colOff>
          <xdr:row>44</xdr:row>
          <xdr:rowOff>190500</xdr:rowOff>
        </xdr:to>
        <xdr:sp macro="" textlink="">
          <xdr:nvSpPr>
            <xdr:cNvPr id="2069" name="Option 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43</xdr:row>
          <xdr:rowOff>19050</xdr:rowOff>
        </xdr:from>
        <xdr:to>
          <xdr:col>15</xdr:col>
          <xdr:colOff>409575</xdr:colOff>
          <xdr:row>43</xdr:row>
          <xdr:rowOff>228600</xdr:rowOff>
        </xdr:to>
        <xdr:sp macro="" textlink="">
          <xdr:nvSpPr>
            <xdr:cNvPr id="2072" name="Option 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504825</xdr:colOff>
          <xdr:row>43</xdr:row>
          <xdr:rowOff>19050</xdr:rowOff>
        </xdr:from>
        <xdr:to>
          <xdr:col>15</xdr:col>
          <xdr:colOff>733425</xdr:colOff>
          <xdr:row>43</xdr:row>
          <xdr:rowOff>228600</xdr:rowOff>
        </xdr:to>
        <xdr:sp macro="" textlink="">
          <xdr:nvSpPr>
            <xdr:cNvPr id="2073" name="Option Button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44</xdr:row>
          <xdr:rowOff>0</xdr:rowOff>
        </xdr:from>
        <xdr:to>
          <xdr:col>15</xdr:col>
          <xdr:colOff>400050</xdr:colOff>
          <xdr:row>44</xdr:row>
          <xdr:rowOff>209550</xdr:rowOff>
        </xdr:to>
        <xdr:sp macro="" textlink="">
          <xdr:nvSpPr>
            <xdr:cNvPr id="2074" name="Option Button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514350</xdr:colOff>
          <xdr:row>44</xdr:row>
          <xdr:rowOff>9525</xdr:rowOff>
        </xdr:from>
        <xdr:to>
          <xdr:col>15</xdr:col>
          <xdr:colOff>742950</xdr:colOff>
          <xdr:row>44</xdr:row>
          <xdr:rowOff>219075</xdr:rowOff>
        </xdr:to>
        <xdr:sp macro="" textlink="">
          <xdr:nvSpPr>
            <xdr:cNvPr id="2075" name="Option Button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3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990600</xdr:colOff>
          <xdr:row>52</xdr:row>
          <xdr:rowOff>238125</xdr:rowOff>
        </xdr:from>
        <xdr:to>
          <xdr:col>9</xdr:col>
          <xdr:colOff>1238250</xdr:colOff>
          <xdr:row>53</xdr:row>
          <xdr:rowOff>180975</xdr:rowOff>
        </xdr:to>
        <xdr:sp macro="" textlink="">
          <xdr:nvSpPr>
            <xdr:cNvPr id="2076" name="Option Butto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3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1323975</xdr:colOff>
          <xdr:row>52</xdr:row>
          <xdr:rowOff>238125</xdr:rowOff>
        </xdr:from>
        <xdr:to>
          <xdr:col>9</xdr:col>
          <xdr:colOff>1552575</xdr:colOff>
          <xdr:row>53</xdr:row>
          <xdr:rowOff>180975</xdr:rowOff>
        </xdr:to>
        <xdr:sp macro="" textlink="">
          <xdr:nvSpPr>
            <xdr:cNvPr id="2077" name="Option Button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3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981075</xdr:colOff>
          <xdr:row>53</xdr:row>
          <xdr:rowOff>238125</xdr:rowOff>
        </xdr:from>
        <xdr:to>
          <xdr:col>9</xdr:col>
          <xdr:colOff>1228725</xdr:colOff>
          <xdr:row>54</xdr:row>
          <xdr:rowOff>190500</xdr:rowOff>
        </xdr:to>
        <xdr:sp macro="" textlink="">
          <xdr:nvSpPr>
            <xdr:cNvPr id="2078" name="Option Button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3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1314450</xdr:colOff>
          <xdr:row>53</xdr:row>
          <xdr:rowOff>238125</xdr:rowOff>
        </xdr:from>
        <xdr:to>
          <xdr:col>9</xdr:col>
          <xdr:colOff>1543050</xdr:colOff>
          <xdr:row>54</xdr:row>
          <xdr:rowOff>190500</xdr:rowOff>
        </xdr:to>
        <xdr:sp macro="" textlink="">
          <xdr:nvSpPr>
            <xdr:cNvPr id="2079" name="Option Button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3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981075</xdr:colOff>
          <xdr:row>55</xdr:row>
          <xdr:rowOff>19050</xdr:rowOff>
        </xdr:from>
        <xdr:to>
          <xdr:col>9</xdr:col>
          <xdr:colOff>1228725</xdr:colOff>
          <xdr:row>55</xdr:row>
          <xdr:rowOff>190500</xdr:rowOff>
        </xdr:to>
        <xdr:sp macro="" textlink="">
          <xdr:nvSpPr>
            <xdr:cNvPr id="2080" name="Option Button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3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1314450</xdr:colOff>
          <xdr:row>55</xdr:row>
          <xdr:rowOff>19050</xdr:rowOff>
        </xdr:from>
        <xdr:to>
          <xdr:col>9</xdr:col>
          <xdr:colOff>1543050</xdr:colOff>
          <xdr:row>55</xdr:row>
          <xdr:rowOff>190500</xdr:rowOff>
        </xdr:to>
        <xdr:sp macro="" textlink="">
          <xdr:nvSpPr>
            <xdr:cNvPr id="2081" name="Option Button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3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52</xdr:row>
          <xdr:rowOff>238125</xdr:rowOff>
        </xdr:from>
        <xdr:to>
          <xdr:col>15</xdr:col>
          <xdr:colOff>438150</xdr:colOff>
          <xdr:row>53</xdr:row>
          <xdr:rowOff>180975</xdr:rowOff>
        </xdr:to>
        <xdr:sp macro="" textlink="">
          <xdr:nvSpPr>
            <xdr:cNvPr id="2082" name="Option Button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3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52</xdr:row>
          <xdr:rowOff>228600</xdr:rowOff>
        </xdr:from>
        <xdr:to>
          <xdr:col>15</xdr:col>
          <xdr:colOff>781050</xdr:colOff>
          <xdr:row>53</xdr:row>
          <xdr:rowOff>171450</xdr:rowOff>
        </xdr:to>
        <xdr:sp macro="" textlink="">
          <xdr:nvSpPr>
            <xdr:cNvPr id="2083" name="Option Button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3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53</xdr:row>
          <xdr:rowOff>238125</xdr:rowOff>
        </xdr:from>
        <xdr:to>
          <xdr:col>15</xdr:col>
          <xdr:colOff>476250</xdr:colOff>
          <xdr:row>54</xdr:row>
          <xdr:rowOff>190500</xdr:rowOff>
        </xdr:to>
        <xdr:sp macro="" textlink="">
          <xdr:nvSpPr>
            <xdr:cNvPr id="2084" name="Option Button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3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53</xdr:row>
          <xdr:rowOff>238125</xdr:rowOff>
        </xdr:from>
        <xdr:to>
          <xdr:col>15</xdr:col>
          <xdr:colOff>781050</xdr:colOff>
          <xdr:row>54</xdr:row>
          <xdr:rowOff>190500</xdr:rowOff>
        </xdr:to>
        <xdr:sp macro="" textlink="">
          <xdr:nvSpPr>
            <xdr:cNvPr id="2085" name="Option Button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3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971550</xdr:colOff>
          <xdr:row>64</xdr:row>
          <xdr:rowOff>209550</xdr:rowOff>
        </xdr:from>
        <xdr:to>
          <xdr:col>9</xdr:col>
          <xdr:colOff>1228725</xdr:colOff>
          <xdr:row>65</xdr:row>
          <xdr:rowOff>152400</xdr:rowOff>
        </xdr:to>
        <xdr:sp macro="" textlink="">
          <xdr:nvSpPr>
            <xdr:cNvPr id="2090" name="Option Button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3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1304925</xdr:colOff>
          <xdr:row>64</xdr:row>
          <xdr:rowOff>209550</xdr:rowOff>
        </xdr:from>
        <xdr:to>
          <xdr:col>9</xdr:col>
          <xdr:colOff>1533525</xdr:colOff>
          <xdr:row>65</xdr:row>
          <xdr:rowOff>152400</xdr:rowOff>
        </xdr:to>
        <xdr:sp macro="" textlink="">
          <xdr:nvSpPr>
            <xdr:cNvPr id="2091" name="Option Button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3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933450</xdr:colOff>
          <xdr:row>42</xdr:row>
          <xdr:rowOff>219075</xdr:rowOff>
        </xdr:from>
        <xdr:to>
          <xdr:col>9</xdr:col>
          <xdr:colOff>1571625</xdr:colOff>
          <xdr:row>43</xdr:row>
          <xdr:rowOff>200025</xdr:rowOff>
        </xdr:to>
        <xdr:sp macro="" textlink="">
          <xdr:nvSpPr>
            <xdr:cNvPr id="2096" name="Group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3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942975</xdr:colOff>
          <xdr:row>43</xdr:row>
          <xdr:rowOff>219075</xdr:rowOff>
        </xdr:from>
        <xdr:to>
          <xdr:col>9</xdr:col>
          <xdr:colOff>1581150</xdr:colOff>
          <xdr:row>44</xdr:row>
          <xdr:rowOff>190500</xdr:rowOff>
        </xdr:to>
        <xdr:sp macro="" textlink="">
          <xdr:nvSpPr>
            <xdr:cNvPr id="2097" name="Group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3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42</xdr:row>
          <xdr:rowOff>238125</xdr:rowOff>
        </xdr:from>
        <xdr:to>
          <xdr:col>15</xdr:col>
          <xdr:colOff>771525</xdr:colOff>
          <xdr:row>44</xdr:row>
          <xdr:rowOff>0</xdr:rowOff>
        </xdr:to>
        <xdr:sp macro="" textlink="">
          <xdr:nvSpPr>
            <xdr:cNvPr id="2099" name="Group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3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44</xdr:row>
          <xdr:rowOff>0</xdr:rowOff>
        </xdr:from>
        <xdr:to>
          <xdr:col>15</xdr:col>
          <xdr:colOff>771525</xdr:colOff>
          <xdr:row>44</xdr:row>
          <xdr:rowOff>247650</xdr:rowOff>
        </xdr:to>
        <xdr:sp macro="" textlink="">
          <xdr:nvSpPr>
            <xdr:cNvPr id="2100" name="Group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3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952500</xdr:colOff>
          <xdr:row>52</xdr:row>
          <xdr:rowOff>209550</xdr:rowOff>
        </xdr:from>
        <xdr:to>
          <xdr:col>9</xdr:col>
          <xdr:colOff>1590675</xdr:colOff>
          <xdr:row>53</xdr:row>
          <xdr:rowOff>190500</xdr:rowOff>
        </xdr:to>
        <xdr:sp macro="" textlink="">
          <xdr:nvSpPr>
            <xdr:cNvPr id="2104" name="Group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3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971550</xdr:colOff>
          <xdr:row>45</xdr:row>
          <xdr:rowOff>9525</xdr:rowOff>
        </xdr:from>
        <xdr:to>
          <xdr:col>9</xdr:col>
          <xdr:colOff>1219200</xdr:colOff>
          <xdr:row>45</xdr:row>
          <xdr:rowOff>209550</xdr:rowOff>
        </xdr:to>
        <xdr:sp macro="" textlink="">
          <xdr:nvSpPr>
            <xdr:cNvPr id="2105" name="Option Button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3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1304925</xdr:colOff>
          <xdr:row>45</xdr:row>
          <xdr:rowOff>9525</xdr:rowOff>
        </xdr:from>
        <xdr:to>
          <xdr:col>9</xdr:col>
          <xdr:colOff>1533525</xdr:colOff>
          <xdr:row>45</xdr:row>
          <xdr:rowOff>209550</xdr:rowOff>
        </xdr:to>
        <xdr:sp macro="" textlink="">
          <xdr:nvSpPr>
            <xdr:cNvPr id="2106" name="Option Button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3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933450</xdr:colOff>
          <xdr:row>45</xdr:row>
          <xdr:rowOff>0</xdr:rowOff>
        </xdr:from>
        <xdr:to>
          <xdr:col>9</xdr:col>
          <xdr:colOff>1571625</xdr:colOff>
          <xdr:row>45</xdr:row>
          <xdr:rowOff>238125</xdr:rowOff>
        </xdr:to>
        <xdr:sp macro="" textlink="">
          <xdr:nvSpPr>
            <xdr:cNvPr id="2107" name="Group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3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52</xdr:row>
          <xdr:rowOff>209550</xdr:rowOff>
        </xdr:from>
        <xdr:to>
          <xdr:col>15</xdr:col>
          <xdr:colOff>800100</xdr:colOff>
          <xdr:row>53</xdr:row>
          <xdr:rowOff>190500</xdr:rowOff>
        </xdr:to>
        <xdr:sp macro="" textlink="">
          <xdr:nvSpPr>
            <xdr:cNvPr id="2108" name="Group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3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942975</xdr:colOff>
          <xdr:row>53</xdr:row>
          <xdr:rowOff>228600</xdr:rowOff>
        </xdr:from>
        <xdr:to>
          <xdr:col>9</xdr:col>
          <xdr:colOff>1581150</xdr:colOff>
          <xdr:row>54</xdr:row>
          <xdr:rowOff>209550</xdr:rowOff>
        </xdr:to>
        <xdr:sp macro="" textlink="">
          <xdr:nvSpPr>
            <xdr:cNvPr id="2109" name="Group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3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942975</xdr:colOff>
          <xdr:row>54</xdr:row>
          <xdr:rowOff>238125</xdr:rowOff>
        </xdr:from>
        <xdr:to>
          <xdr:col>9</xdr:col>
          <xdr:colOff>1581150</xdr:colOff>
          <xdr:row>55</xdr:row>
          <xdr:rowOff>209550</xdr:rowOff>
        </xdr:to>
        <xdr:sp macro="" textlink="">
          <xdr:nvSpPr>
            <xdr:cNvPr id="2110" name="Group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3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53</xdr:row>
          <xdr:rowOff>228600</xdr:rowOff>
        </xdr:from>
        <xdr:to>
          <xdr:col>15</xdr:col>
          <xdr:colOff>800100</xdr:colOff>
          <xdr:row>54</xdr:row>
          <xdr:rowOff>209550</xdr:rowOff>
        </xdr:to>
        <xdr:sp macro="" textlink="">
          <xdr:nvSpPr>
            <xdr:cNvPr id="2111" name="Group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3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55</xdr:row>
          <xdr:rowOff>57150</xdr:rowOff>
        </xdr:from>
        <xdr:to>
          <xdr:col>15</xdr:col>
          <xdr:colOff>476250</xdr:colOff>
          <xdr:row>55</xdr:row>
          <xdr:rowOff>219075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3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55</xdr:row>
          <xdr:rowOff>57150</xdr:rowOff>
        </xdr:from>
        <xdr:to>
          <xdr:col>15</xdr:col>
          <xdr:colOff>781050</xdr:colOff>
          <xdr:row>55</xdr:row>
          <xdr:rowOff>219075</xdr:rowOff>
        </xdr:to>
        <xdr:sp macro="" textlink="">
          <xdr:nvSpPr>
            <xdr:cNvPr id="2113" name="Option Button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3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55</xdr:row>
          <xdr:rowOff>19050</xdr:rowOff>
        </xdr:from>
        <xdr:to>
          <xdr:col>15</xdr:col>
          <xdr:colOff>790575</xdr:colOff>
          <xdr:row>56</xdr:row>
          <xdr:rowOff>0</xdr:rowOff>
        </xdr:to>
        <xdr:sp macro="" textlink="">
          <xdr:nvSpPr>
            <xdr:cNvPr id="2116" name="Group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3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942975</xdr:colOff>
          <xdr:row>64</xdr:row>
          <xdr:rowOff>180975</xdr:rowOff>
        </xdr:from>
        <xdr:to>
          <xdr:col>9</xdr:col>
          <xdr:colOff>1581150</xdr:colOff>
          <xdr:row>65</xdr:row>
          <xdr:rowOff>200025</xdr:rowOff>
        </xdr:to>
        <xdr:sp macro="" textlink="">
          <xdr:nvSpPr>
            <xdr:cNvPr id="2123" name="Group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3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45</xdr:row>
          <xdr:rowOff>9525</xdr:rowOff>
        </xdr:from>
        <xdr:to>
          <xdr:col>15</xdr:col>
          <xdr:colOff>428625</xdr:colOff>
          <xdr:row>45</xdr:row>
          <xdr:rowOff>209550</xdr:rowOff>
        </xdr:to>
        <xdr:sp macro="" textlink="">
          <xdr:nvSpPr>
            <xdr:cNvPr id="2127" name="Option Button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3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514350</xdr:colOff>
          <xdr:row>45</xdr:row>
          <xdr:rowOff>9525</xdr:rowOff>
        </xdr:from>
        <xdr:to>
          <xdr:col>15</xdr:col>
          <xdr:colOff>742950</xdr:colOff>
          <xdr:row>45</xdr:row>
          <xdr:rowOff>209550</xdr:rowOff>
        </xdr:to>
        <xdr:sp macro="" textlink="">
          <xdr:nvSpPr>
            <xdr:cNvPr id="2128" name="Option Button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3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133350</xdr:colOff>
          <xdr:row>45</xdr:row>
          <xdr:rowOff>0</xdr:rowOff>
        </xdr:from>
        <xdr:to>
          <xdr:col>15</xdr:col>
          <xdr:colOff>771525</xdr:colOff>
          <xdr:row>45</xdr:row>
          <xdr:rowOff>238125</xdr:rowOff>
        </xdr:to>
        <xdr:sp macro="" textlink="">
          <xdr:nvSpPr>
            <xdr:cNvPr id="2129" name="Group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3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209550</xdr:colOff>
          <xdr:row>35</xdr:row>
          <xdr:rowOff>38100</xdr:rowOff>
        </xdr:from>
        <xdr:to>
          <xdr:col>15</xdr:col>
          <xdr:colOff>438150</xdr:colOff>
          <xdr:row>35</xdr:row>
          <xdr:rowOff>247650</xdr:rowOff>
        </xdr:to>
        <xdr:sp macro="" textlink="">
          <xdr:nvSpPr>
            <xdr:cNvPr id="2130" name="Option Button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3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561975</xdr:colOff>
          <xdr:row>35</xdr:row>
          <xdr:rowOff>57150</xdr:rowOff>
        </xdr:from>
        <xdr:to>
          <xdr:col>15</xdr:col>
          <xdr:colOff>752475</xdr:colOff>
          <xdr:row>35</xdr:row>
          <xdr:rowOff>247650</xdr:rowOff>
        </xdr:to>
        <xdr:sp macro="" textlink="">
          <xdr:nvSpPr>
            <xdr:cNvPr id="2131" name="Option Button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3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35</xdr:row>
          <xdr:rowOff>19050</xdr:rowOff>
        </xdr:from>
        <xdr:to>
          <xdr:col>15</xdr:col>
          <xdr:colOff>809625</xdr:colOff>
          <xdr:row>36</xdr:row>
          <xdr:rowOff>0</xdr:rowOff>
        </xdr:to>
        <xdr:sp macro="" textlink="">
          <xdr:nvSpPr>
            <xdr:cNvPr id="2132" name="Group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3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952500</xdr:colOff>
          <xdr:row>34</xdr:row>
          <xdr:rowOff>19050</xdr:rowOff>
        </xdr:from>
        <xdr:to>
          <xdr:col>9</xdr:col>
          <xdr:colOff>1609725</xdr:colOff>
          <xdr:row>34</xdr:row>
          <xdr:rowOff>257175</xdr:rowOff>
        </xdr:to>
        <xdr:sp macro="" textlink="">
          <xdr:nvSpPr>
            <xdr:cNvPr id="2133" name="Group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3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387432</xdr:colOff>
      <xdr:row>1</xdr:row>
      <xdr:rowOff>166255</xdr:rowOff>
    </xdr:from>
    <xdr:to>
      <xdr:col>11</xdr:col>
      <xdr:colOff>688273</xdr:colOff>
      <xdr:row>3</xdr:row>
      <xdr:rowOff>253340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632" y="280555"/>
          <a:ext cx="5838041" cy="810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787729</xdr:colOff>
      <xdr:row>1</xdr:row>
      <xdr:rowOff>96652</xdr:rowOff>
    </xdr:from>
    <xdr:to>
      <xdr:col>3</xdr:col>
      <xdr:colOff>854404</xdr:colOff>
      <xdr:row>3</xdr:row>
      <xdr:rowOff>308923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629" y="210952"/>
          <a:ext cx="1743075" cy="936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345085</xdr:colOff>
      <xdr:row>1</xdr:row>
      <xdr:rowOff>160812</xdr:rowOff>
    </xdr:from>
    <xdr:to>
      <xdr:col>19</xdr:col>
      <xdr:colOff>29029</xdr:colOff>
      <xdr:row>3</xdr:row>
      <xdr:rowOff>215241</xdr:rowOff>
    </xdr:to>
    <xdr:pic>
      <xdr:nvPicPr>
        <xdr:cNvPr id="101" name="Picture 12" descr="http://www.iremnyc.org/irem/FileContents.phx?fileid=7a3ddc82-23d7-4bd4-a1bc-3ef19df7779d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1085" y="275112"/>
          <a:ext cx="2160444" cy="778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5108</xdr:colOff>
      <xdr:row>3</xdr:row>
      <xdr:rowOff>330295</xdr:rowOff>
    </xdr:from>
    <xdr:ext cx="8031686" cy="655885"/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/>
      </xdr:nvSpPr>
      <xdr:spPr>
        <a:xfrm>
          <a:off x="3472208" y="1168495"/>
          <a:ext cx="8031686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6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ASHRAE 62.2-2016 Ventilation Calculator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27</xdr:row>
          <xdr:rowOff>0</xdr:rowOff>
        </xdr:from>
        <xdr:to>
          <xdr:col>3</xdr:col>
          <xdr:colOff>1524000</xdr:colOff>
          <xdr:row>28</xdr:row>
          <xdr:rowOff>0</xdr:rowOff>
        </xdr:to>
        <xdr:sp macro="" textlink="">
          <xdr:nvSpPr>
            <xdr:cNvPr id="2139" name="List Box 91" descr="Y/N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3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9</xdr:col>
      <xdr:colOff>934030</xdr:colOff>
      <xdr:row>71</xdr:row>
      <xdr:rowOff>131958</xdr:rowOff>
    </xdr:from>
    <xdr:ext cx="257956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/>
      </xdr:nvSpPr>
      <xdr:spPr>
        <a:xfrm>
          <a:off x="8107716" y="13858844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9</xdr:col>
      <xdr:colOff>1282495</xdr:colOff>
      <xdr:row>71</xdr:row>
      <xdr:rowOff>150919</xdr:rowOff>
    </xdr:from>
    <xdr:ext cx="277576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/>
      </xdr:nvSpPr>
      <xdr:spPr>
        <a:xfrm>
          <a:off x="8280195" y="16762519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xdr:oneCellAnchor>
    <xdr:from>
      <xdr:col>15</xdr:col>
      <xdr:colOff>167462</xdr:colOff>
      <xdr:row>71</xdr:row>
      <xdr:rowOff>151338</xdr:rowOff>
    </xdr:from>
    <xdr:ext cx="257956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/>
      </xdr:nvSpPr>
      <xdr:spPr>
        <a:xfrm>
          <a:off x="12569669" y="16803666"/>
          <a:ext cx="2579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</a:t>
          </a:r>
        </a:p>
      </xdr:txBody>
    </xdr:sp>
    <xdr:clientData/>
  </xdr:oneCellAnchor>
  <xdr:oneCellAnchor>
    <xdr:from>
      <xdr:col>15</xdr:col>
      <xdr:colOff>497497</xdr:colOff>
      <xdr:row>71</xdr:row>
      <xdr:rowOff>153087</xdr:rowOff>
    </xdr:from>
    <xdr:ext cx="277576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/>
      </xdr:nvSpPr>
      <xdr:spPr>
        <a:xfrm>
          <a:off x="13277326" y="13879973"/>
          <a:ext cx="2775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N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971550</xdr:colOff>
          <xdr:row>73</xdr:row>
          <xdr:rowOff>9525</xdr:rowOff>
        </xdr:from>
        <xdr:to>
          <xdr:col>9</xdr:col>
          <xdr:colOff>1219200</xdr:colOff>
          <xdr:row>73</xdr:row>
          <xdr:rowOff>209550</xdr:rowOff>
        </xdr:to>
        <xdr:sp macro="" textlink="">
          <xdr:nvSpPr>
            <xdr:cNvPr id="2140" name="Option Button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3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1304925</xdr:colOff>
          <xdr:row>73</xdr:row>
          <xdr:rowOff>9525</xdr:rowOff>
        </xdr:from>
        <xdr:to>
          <xdr:col>9</xdr:col>
          <xdr:colOff>1533525</xdr:colOff>
          <xdr:row>73</xdr:row>
          <xdr:rowOff>209550</xdr:rowOff>
        </xdr:to>
        <xdr:sp macro="" textlink="">
          <xdr:nvSpPr>
            <xdr:cNvPr id="2141" name="Option Button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3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971550</xdr:colOff>
          <xdr:row>74</xdr:row>
          <xdr:rowOff>0</xdr:rowOff>
        </xdr:from>
        <xdr:to>
          <xdr:col>9</xdr:col>
          <xdr:colOff>1219200</xdr:colOff>
          <xdr:row>74</xdr:row>
          <xdr:rowOff>209550</xdr:rowOff>
        </xdr:to>
        <xdr:sp macro="" textlink="">
          <xdr:nvSpPr>
            <xdr:cNvPr id="2142" name="Option Button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3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1304925</xdr:colOff>
          <xdr:row>74</xdr:row>
          <xdr:rowOff>0</xdr:rowOff>
        </xdr:from>
        <xdr:to>
          <xdr:col>9</xdr:col>
          <xdr:colOff>1533525</xdr:colOff>
          <xdr:row>74</xdr:row>
          <xdr:rowOff>209550</xdr:rowOff>
        </xdr:to>
        <xdr:sp macro="" textlink="">
          <xdr:nvSpPr>
            <xdr:cNvPr id="2143" name="Option Button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3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971550</xdr:colOff>
          <xdr:row>75</xdr:row>
          <xdr:rowOff>0</xdr:rowOff>
        </xdr:from>
        <xdr:to>
          <xdr:col>9</xdr:col>
          <xdr:colOff>1219200</xdr:colOff>
          <xdr:row>75</xdr:row>
          <xdr:rowOff>190500</xdr:rowOff>
        </xdr:to>
        <xdr:sp macro="" textlink="">
          <xdr:nvSpPr>
            <xdr:cNvPr id="2144" name="Option Button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3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1304925</xdr:colOff>
          <xdr:row>75</xdr:row>
          <xdr:rowOff>0</xdr:rowOff>
        </xdr:from>
        <xdr:to>
          <xdr:col>9</xdr:col>
          <xdr:colOff>1533525</xdr:colOff>
          <xdr:row>75</xdr:row>
          <xdr:rowOff>190500</xdr:rowOff>
        </xdr:to>
        <xdr:sp macro="" textlink="">
          <xdr:nvSpPr>
            <xdr:cNvPr id="2145" name="Option Button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3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73</xdr:row>
          <xdr:rowOff>0</xdr:rowOff>
        </xdr:from>
        <xdr:to>
          <xdr:col>15</xdr:col>
          <xdr:colOff>438150</xdr:colOff>
          <xdr:row>73</xdr:row>
          <xdr:rowOff>209550</xdr:rowOff>
        </xdr:to>
        <xdr:sp macro="" textlink="">
          <xdr:nvSpPr>
            <xdr:cNvPr id="2146" name="Option Button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3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523875</xdr:colOff>
          <xdr:row>73</xdr:row>
          <xdr:rowOff>0</xdr:rowOff>
        </xdr:from>
        <xdr:to>
          <xdr:col>15</xdr:col>
          <xdr:colOff>752475</xdr:colOff>
          <xdr:row>73</xdr:row>
          <xdr:rowOff>209550</xdr:rowOff>
        </xdr:to>
        <xdr:sp macro="" textlink="">
          <xdr:nvSpPr>
            <xdr:cNvPr id="2147" name="Option Button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3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74</xdr:row>
          <xdr:rowOff>57150</xdr:rowOff>
        </xdr:from>
        <xdr:to>
          <xdr:col>15</xdr:col>
          <xdr:colOff>438150</xdr:colOff>
          <xdr:row>74</xdr:row>
          <xdr:rowOff>257175</xdr:rowOff>
        </xdr:to>
        <xdr:sp macro="" textlink="">
          <xdr:nvSpPr>
            <xdr:cNvPr id="2148" name="Option Button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3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523875</xdr:colOff>
          <xdr:row>74</xdr:row>
          <xdr:rowOff>47625</xdr:rowOff>
        </xdr:from>
        <xdr:to>
          <xdr:col>15</xdr:col>
          <xdr:colOff>752475</xdr:colOff>
          <xdr:row>74</xdr:row>
          <xdr:rowOff>247650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3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933450</xdr:colOff>
          <xdr:row>72</xdr:row>
          <xdr:rowOff>180975</xdr:rowOff>
        </xdr:from>
        <xdr:to>
          <xdr:col>9</xdr:col>
          <xdr:colOff>1562100</xdr:colOff>
          <xdr:row>73</xdr:row>
          <xdr:rowOff>276225</xdr:rowOff>
        </xdr:to>
        <xdr:sp macro="" textlink="">
          <xdr:nvSpPr>
            <xdr:cNvPr id="2150" name="Group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3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942975</xdr:colOff>
          <xdr:row>73</xdr:row>
          <xdr:rowOff>257175</xdr:rowOff>
        </xdr:from>
        <xdr:to>
          <xdr:col>9</xdr:col>
          <xdr:colOff>1571625</xdr:colOff>
          <xdr:row>74</xdr:row>
          <xdr:rowOff>228600</xdr:rowOff>
        </xdr:to>
        <xdr:sp macro="" textlink="">
          <xdr:nvSpPr>
            <xdr:cNvPr id="2151" name="Group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3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72</xdr:row>
          <xdr:rowOff>180975</xdr:rowOff>
        </xdr:from>
        <xdr:to>
          <xdr:col>15</xdr:col>
          <xdr:colOff>781050</xdr:colOff>
          <xdr:row>73</xdr:row>
          <xdr:rowOff>276225</xdr:rowOff>
        </xdr:to>
        <xdr:sp macro="" textlink="">
          <xdr:nvSpPr>
            <xdr:cNvPr id="2152" name="Group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3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74</xdr:row>
          <xdr:rowOff>19050</xdr:rowOff>
        </xdr:from>
        <xdr:to>
          <xdr:col>15</xdr:col>
          <xdr:colOff>781050</xdr:colOff>
          <xdr:row>75</xdr:row>
          <xdr:rowOff>0</xdr:rowOff>
        </xdr:to>
        <xdr:sp macro="" textlink="">
          <xdr:nvSpPr>
            <xdr:cNvPr id="2153" name="Group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3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942975</xdr:colOff>
          <xdr:row>74</xdr:row>
          <xdr:rowOff>247650</xdr:rowOff>
        </xdr:from>
        <xdr:to>
          <xdr:col>9</xdr:col>
          <xdr:colOff>1581150</xdr:colOff>
          <xdr:row>75</xdr:row>
          <xdr:rowOff>257175</xdr:rowOff>
        </xdr:to>
        <xdr:sp macro="" textlink="">
          <xdr:nvSpPr>
            <xdr:cNvPr id="2154" name="Group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3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75</xdr:row>
          <xdr:rowOff>66675</xdr:rowOff>
        </xdr:from>
        <xdr:to>
          <xdr:col>15</xdr:col>
          <xdr:colOff>438150</xdr:colOff>
          <xdr:row>75</xdr:row>
          <xdr:rowOff>257175</xdr:rowOff>
        </xdr:to>
        <xdr:sp macro="" textlink="">
          <xdr:nvSpPr>
            <xdr:cNvPr id="2155" name="Option Button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3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523875</xdr:colOff>
          <xdr:row>75</xdr:row>
          <xdr:rowOff>66675</xdr:rowOff>
        </xdr:from>
        <xdr:to>
          <xdr:col>15</xdr:col>
          <xdr:colOff>752475</xdr:colOff>
          <xdr:row>75</xdr:row>
          <xdr:rowOff>257175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3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75</xdr:row>
          <xdr:rowOff>47625</xdr:rowOff>
        </xdr:from>
        <xdr:to>
          <xdr:col>15</xdr:col>
          <xdr:colOff>800100</xdr:colOff>
          <xdr:row>76</xdr:row>
          <xdr:rowOff>28575</xdr:rowOff>
        </xdr:to>
        <xdr:sp macro="" textlink="">
          <xdr:nvSpPr>
            <xdr:cNvPr id="2157" name="Group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3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64</xdr:row>
          <xdr:rowOff>57150</xdr:rowOff>
        </xdr:from>
        <xdr:to>
          <xdr:col>15</xdr:col>
          <xdr:colOff>476250</xdr:colOff>
          <xdr:row>64</xdr:row>
          <xdr:rowOff>219075</xdr:rowOff>
        </xdr:to>
        <xdr:sp macro="" textlink="">
          <xdr:nvSpPr>
            <xdr:cNvPr id="2184" name="Option Button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3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64</xdr:row>
          <xdr:rowOff>57150</xdr:rowOff>
        </xdr:from>
        <xdr:to>
          <xdr:col>15</xdr:col>
          <xdr:colOff>771525</xdr:colOff>
          <xdr:row>64</xdr:row>
          <xdr:rowOff>219075</xdr:rowOff>
        </xdr:to>
        <xdr:sp macro="" textlink="">
          <xdr:nvSpPr>
            <xdr:cNvPr id="2185" name="Option Button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3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64</xdr:row>
          <xdr:rowOff>19050</xdr:rowOff>
        </xdr:from>
        <xdr:to>
          <xdr:col>15</xdr:col>
          <xdr:colOff>790575</xdr:colOff>
          <xdr:row>65</xdr:row>
          <xdr:rowOff>0</xdr:rowOff>
        </xdr:to>
        <xdr:sp macro="" textlink="">
          <xdr:nvSpPr>
            <xdr:cNvPr id="2186" name="Group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3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63</xdr:row>
          <xdr:rowOff>57150</xdr:rowOff>
        </xdr:from>
        <xdr:to>
          <xdr:col>15</xdr:col>
          <xdr:colOff>476250</xdr:colOff>
          <xdr:row>63</xdr:row>
          <xdr:rowOff>219075</xdr:rowOff>
        </xdr:to>
        <xdr:sp macro="" textlink="">
          <xdr:nvSpPr>
            <xdr:cNvPr id="2191" name="Option Button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3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63</xdr:row>
          <xdr:rowOff>57150</xdr:rowOff>
        </xdr:from>
        <xdr:to>
          <xdr:col>15</xdr:col>
          <xdr:colOff>781050</xdr:colOff>
          <xdr:row>63</xdr:row>
          <xdr:rowOff>219075</xdr:rowOff>
        </xdr:to>
        <xdr:sp macro="" textlink="">
          <xdr:nvSpPr>
            <xdr:cNvPr id="2192" name="Option Button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3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63</xdr:row>
          <xdr:rowOff>19050</xdr:rowOff>
        </xdr:from>
        <xdr:to>
          <xdr:col>15</xdr:col>
          <xdr:colOff>790575</xdr:colOff>
          <xdr:row>64</xdr:row>
          <xdr:rowOff>0</xdr:rowOff>
        </xdr:to>
        <xdr:sp macro="" textlink="">
          <xdr:nvSpPr>
            <xdr:cNvPr id="2193" name="Group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3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219075</xdr:colOff>
          <xdr:row>65</xdr:row>
          <xdr:rowOff>57150</xdr:rowOff>
        </xdr:from>
        <xdr:to>
          <xdr:col>15</xdr:col>
          <xdr:colOff>476250</xdr:colOff>
          <xdr:row>65</xdr:row>
          <xdr:rowOff>219075</xdr:rowOff>
        </xdr:to>
        <xdr:sp macro="" textlink="">
          <xdr:nvSpPr>
            <xdr:cNvPr id="2197" name="Option Button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3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65</xdr:row>
          <xdr:rowOff>57150</xdr:rowOff>
        </xdr:from>
        <xdr:to>
          <xdr:col>15</xdr:col>
          <xdr:colOff>781050</xdr:colOff>
          <xdr:row>65</xdr:row>
          <xdr:rowOff>219075</xdr:rowOff>
        </xdr:to>
        <xdr:sp macro="" textlink="">
          <xdr:nvSpPr>
            <xdr:cNvPr id="2198" name="Option Button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3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65</xdr:row>
          <xdr:rowOff>19050</xdr:rowOff>
        </xdr:from>
        <xdr:to>
          <xdr:col>15</xdr:col>
          <xdr:colOff>790575</xdr:colOff>
          <xdr:row>66</xdr:row>
          <xdr:rowOff>0</xdr:rowOff>
        </xdr:to>
        <xdr:sp macro="" textlink="">
          <xdr:nvSpPr>
            <xdr:cNvPr id="2199" name="Group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3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971550</xdr:colOff>
          <xdr:row>62</xdr:row>
          <xdr:rowOff>209550</xdr:rowOff>
        </xdr:from>
        <xdr:to>
          <xdr:col>9</xdr:col>
          <xdr:colOff>1228725</xdr:colOff>
          <xdr:row>63</xdr:row>
          <xdr:rowOff>161925</xdr:rowOff>
        </xdr:to>
        <xdr:sp macro="" textlink="">
          <xdr:nvSpPr>
            <xdr:cNvPr id="2205" name="Option Button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3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1304925</xdr:colOff>
          <xdr:row>62</xdr:row>
          <xdr:rowOff>209550</xdr:rowOff>
        </xdr:from>
        <xdr:to>
          <xdr:col>9</xdr:col>
          <xdr:colOff>1533525</xdr:colOff>
          <xdr:row>63</xdr:row>
          <xdr:rowOff>161925</xdr:rowOff>
        </xdr:to>
        <xdr:sp macro="" textlink="">
          <xdr:nvSpPr>
            <xdr:cNvPr id="2206" name="Option Button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3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952500</xdr:colOff>
          <xdr:row>62</xdr:row>
          <xdr:rowOff>200025</xdr:rowOff>
        </xdr:from>
        <xdr:to>
          <xdr:col>9</xdr:col>
          <xdr:colOff>1581150</xdr:colOff>
          <xdr:row>63</xdr:row>
          <xdr:rowOff>161925</xdr:rowOff>
        </xdr:to>
        <xdr:sp macro="" textlink="">
          <xdr:nvSpPr>
            <xdr:cNvPr id="2209" name="Group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3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942975</xdr:colOff>
          <xdr:row>63</xdr:row>
          <xdr:rowOff>180975</xdr:rowOff>
        </xdr:from>
        <xdr:to>
          <xdr:col>9</xdr:col>
          <xdr:colOff>1581150</xdr:colOff>
          <xdr:row>64</xdr:row>
          <xdr:rowOff>200025</xdr:rowOff>
        </xdr:to>
        <xdr:sp macro="" textlink="">
          <xdr:nvSpPr>
            <xdr:cNvPr id="2210" name="Group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3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971550</xdr:colOff>
          <xdr:row>63</xdr:row>
          <xdr:rowOff>209550</xdr:rowOff>
        </xdr:from>
        <xdr:to>
          <xdr:col>9</xdr:col>
          <xdr:colOff>1228725</xdr:colOff>
          <xdr:row>64</xdr:row>
          <xdr:rowOff>161925</xdr:rowOff>
        </xdr:to>
        <xdr:sp macro="" textlink="">
          <xdr:nvSpPr>
            <xdr:cNvPr id="2215" name="Option Button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3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1304925</xdr:colOff>
          <xdr:row>63</xdr:row>
          <xdr:rowOff>209550</xdr:rowOff>
        </xdr:from>
        <xdr:to>
          <xdr:col>9</xdr:col>
          <xdr:colOff>1533525</xdr:colOff>
          <xdr:row>64</xdr:row>
          <xdr:rowOff>161925</xdr:rowOff>
        </xdr:to>
        <xdr:sp macro="" textlink="">
          <xdr:nvSpPr>
            <xdr:cNvPr id="2216" name="Option Button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3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952500</xdr:colOff>
          <xdr:row>63</xdr:row>
          <xdr:rowOff>200025</xdr:rowOff>
        </xdr:from>
        <xdr:to>
          <xdr:col>9</xdr:col>
          <xdr:colOff>1581150</xdr:colOff>
          <xdr:row>64</xdr:row>
          <xdr:rowOff>161925</xdr:rowOff>
        </xdr:to>
        <xdr:sp macro="" textlink="">
          <xdr:nvSpPr>
            <xdr:cNvPr id="2217" name="Group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3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942975</xdr:colOff>
          <xdr:row>64</xdr:row>
          <xdr:rowOff>180975</xdr:rowOff>
        </xdr:from>
        <xdr:to>
          <xdr:col>9</xdr:col>
          <xdr:colOff>1581150</xdr:colOff>
          <xdr:row>65</xdr:row>
          <xdr:rowOff>200025</xdr:rowOff>
        </xdr:to>
        <xdr:sp macro="" textlink="">
          <xdr:nvSpPr>
            <xdr:cNvPr id="2218" name="Group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3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5</xdr:row>
      <xdr:rowOff>9525</xdr:rowOff>
    </xdr:from>
    <xdr:to>
      <xdr:col>7</xdr:col>
      <xdr:colOff>371475</xdr:colOff>
      <xdr:row>22</xdr:row>
      <xdr:rowOff>104775</xdr:rowOff>
    </xdr:to>
    <xdr:graphicFrame macro="">
      <xdr:nvGraphicFramePr>
        <xdr:cNvPr id="28673" name="Chart 2">
          <a:extLst>
            <a:ext uri="{FF2B5EF4-FFF2-40B4-BE49-F238E27FC236}">
              <a16:creationId xmlns:a16="http://schemas.microsoft.com/office/drawing/2014/main" id="{00000000-0008-0000-0400-000001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1304318</xdr:colOff>
      <xdr:row>9</xdr:row>
      <xdr:rowOff>80013</xdr:rowOff>
    </xdr:from>
    <xdr:to>
      <xdr:col>3</xdr:col>
      <xdr:colOff>2182332</xdr:colOff>
      <xdr:row>13</xdr:row>
      <xdr:rowOff>141735</xdr:rowOff>
    </xdr:to>
    <xdr:sp macro="" textlink="">
      <xdr:nvSpPr>
        <xdr:cNvPr id="21" name="Cube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spect="1"/>
        </xdr:cNvSpPr>
      </xdr:nvSpPr>
      <xdr:spPr>
        <a:xfrm>
          <a:off x="2618768" y="2261238"/>
          <a:ext cx="878014" cy="823722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9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1499507</xdr:colOff>
      <xdr:row>2</xdr:row>
      <xdr:rowOff>114300</xdr:rowOff>
    </xdr:from>
    <xdr:to>
      <xdr:col>7</xdr:col>
      <xdr:colOff>2215733</xdr:colOff>
      <xdr:row>6</xdr:row>
      <xdr:rowOff>176504</xdr:rowOff>
    </xdr:to>
    <xdr:sp macro="" textlink="">
      <xdr:nvSpPr>
        <xdr:cNvPr id="19" name="Cub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spect="1"/>
        </xdr:cNvSpPr>
      </xdr:nvSpPr>
      <xdr:spPr>
        <a:xfrm>
          <a:off x="6795407" y="781050"/>
          <a:ext cx="716226" cy="824204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1529474</xdr:colOff>
      <xdr:row>2</xdr:row>
      <xdr:rowOff>97887</xdr:rowOff>
    </xdr:from>
    <xdr:to>
      <xdr:col>3</xdr:col>
      <xdr:colOff>2379466</xdr:colOff>
      <xdr:row>6</xdr:row>
      <xdr:rowOff>165510</xdr:rowOff>
    </xdr:to>
    <xdr:sp macro="" textlink="">
      <xdr:nvSpPr>
        <xdr:cNvPr id="18" name="Cube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spect="1"/>
        </xdr:cNvSpPr>
      </xdr:nvSpPr>
      <xdr:spPr>
        <a:xfrm>
          <a:off x="2843924" y="764637"/>
          <a:ext cx="849992" cy="829623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58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34566</xdr:colOff>
      <xdr:row>3</xdr:row>
      <xdr:rowOff>120017</xdr:rowOff>
    </xdr:from>
    <xdr:to>
      <xdr:col>3</xdr:col>
      <xdr:colOff>871854</xdr:colOff>
      <xdr:row>7</xdr:row>
      <xdr:rowOff>0</xdr:rowOff>
    </xdr:to>
    <xdr:sp macro="" textlink="">
      <xdr:nvSpPr>
        <xdr:cNvPr id="4" name="Cub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spect="1"/>
        </xdr:cNvSpPr>
      </xdr:nvSpPr>
      <xdr:spPr>
        <a:xfrm>
          <a:off x="1406166" y="758192"/>
          <a:ext cx="837288" cy="822958"/>
        </a:xfrm>
        <a:prstGeom prst="cube">
          <a:avLst/>
        </a:prstGeom>
        <a:gradFill>
          <a:gsLst>
            <a:gs pos="0">
              <a:schemeClr val="accent6">
                <a:lumMod val="75000"/>
                <a:alpha val="60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</a:gradFill>
        <a:ln w="158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32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3</xdr:col>
      <xdr:colOff>674918</xdr:colOff>
      <xdr:row>3</xdr:row>
      <xdr:rowOff>120018</xdr:rowOff>
    </xdr:from>
    <xdr:to>
      <xdr:col>3</xdr:col>
      <xdr:colOff>1524393</xdr:colOff>
      <xdr:row>6</xdr:row>
      <xdr:rowOff>360590</xdr:rowOff>
    </xdr:to>
    <xdr:sp macro="" textlink="">
      <xdr:nvSpPr>
        <xdr:cNvPr id="2" name="Cub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spect="1"/>
        </xdr:cNvSpPr>
      </xdr:nvSpPr>
      <xdr:spPr>
        <a:xfrm>
          <a:off x="2046518" y="758193"/>
          <a:ext cx="849475" cy="812072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58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546</xdr:colOff>
      <xdr:row>3</xdr:row>
      <xdr:rowOff>107770</xdr:rowOff>
    </xdr:from>
    <xdr:to>
      <xdr:col>7</xdr:col>
      <xdr:colOff>850538</xdr:colOff>
      <xdr:row>6</xdr:row>
      <xdr:rowOff>364671</xdr:rowOff>
    </xdr:to>
    <xdr:sp macro="" textlink="">
      <xdr:nvSpPr>
        <xdr:cNvPr id="6" name="Cub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spect="1"/>
        </xdr:cNvSpPr>
      </xdr:nvSpPr>
      <xdr:spPr>
        <a:xfrm>
          <a:off x="5296446" y="965020"/>
          <a:ext cx="849992" cy="828401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643892</xdr:colOff>
      <xdr:row>3</xdr:row>
      <xdr:rowOff>98534</xdr:rowOff>
    </xdr:from>
    <xdr:to>
      <xdr:col>7</xdr:col>
      <xdr:colOff>1493884</xdr:colOff>
      <xdr:row>6</xdr:row>
      <xdr:rowOff>364671</xdr:rowOff>
    </xdr:to>
    <xdr:sp macro="" textlink="">
      <xdr:nvSpPr>
        <xdr:cNvPr id="9" name="Cub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>
          <a:spLocks noChangeAspect="1"/>
        </xdr:cNvSpPr>
      </xdr:nvSpPr>
      <xdr:spPr>
        <a:xfrm>
          <a:off x="5997599" y="735724"/>
          <a:ext cx="849992" cy="837637"/>
        </a:xfrm>
        <a:prstGeom prst="cube">
          <a:avLst/>
        </a:prstGeom>
        <a:gradFill>
          <a:gsLst>
            <a:gs pos="0">
              <a:schemeClr val="accent6">
                <a:lumMod val="75000"/>
                <a:alpha val="60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3200" b="1">
              <a:solidFill>
                <a:sysClr val="windowText" lastClr="000000"/>
              </a:solidFill>
            </a:rPr>
            <a:t>B</a:t>
          </a:r>
        </a:p>
      </xdr:txBody>
    </xdr:sp>
    <xdr:clientData/>
  </xdr:twoCellAnchor>
  <xdr:twoCellAnchor>
    <xdr:from>
      <xdr:col>3</xdr:col>
      <xdr:colOff>431347</xdr:colOff>
      <xdr:row>10</xdr:row>
      <xdr:rowOff>102329</xdr:rowOff>
    </xdr:from>
    <xdr:to>
      <xdr:col>3</xdr:col>
      <xdr:colOff>1305209</xdr:colOff>
      <xdr:row>14</xdr:row>
      <xdr:rowOff>164051</xdr:rowOff>
    </xdr:to>
    <xdr:sp macro="" textlink="">
      <xdr:nvSpPr>
        <xdr:cNvPr id="15" name="Cub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spect="1"/>
        </xdr:cNvSpPr>
      </xdr:nvSpPr>
      <xdr:spPr>
        <a:xfrm>
          <a:off x="1745797" y="2474054"/>
          <a:ext cx="873862" cy="823722"/>
        </a:xfrm>
        <a:prstGeom prst="cube">
          <a:avLst/>
        </a:prstGeom>
        <a:gradFill>
          <a:gsLst>
            <a:gs pos="0">
              <a:srgbClr val="0070C0">
                <a:alpha val="62000"/>
              </a:srgb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  <a:lin ang="16200000" scaled="0"/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1099186</xdr:colOff>
      <xdr:row>10</xdr:row>
      <xdr:rowOff>100968</xdr:rowOff>
    </xdr:from>
    <xdr:to>
      <xdr:col>3</xdr:col>
      <xdr:colOff>1973048</xdr:colOff>
      <xdr:row>14</xdr:row>
      <xdr:rowOff>162690</xdr:rowOff>
    </xdr:to>
    <xdr:sp macro="" textlink="">
      <xdr:nvSpPr>
        <xdr:cNvPr id="17" name="Cub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spect="1"/>
        </xdr:cNvSpPr>
      </xdr:nvSpPr>
      <xdr:spPr>
        <a:xfrm>
          <a:off x="2413636" y="2472693"/>
          <a:ext cx="873862" cy="823722"/>
        </a:xfrm>
        <a:prstGeom prst="cube">
          <a:avLst/>
        </a:prstGeom>
        <a:gradFill>
          <a:gsLst>
            <a:gs pos="0">
              <a:schemeClr val="accent6">
                <a:alpha val="62000"/>
                <a:lumMod val="100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r"/>
          <a:r>
            <a:rPr lang="en-US" sz="32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7</xdr:col>
      <xdr:colOff>1295402</xdr:colOff>
      <xdr:row>3</xdr:row>
      <xdr:rowOff>103415</xdr:rowOff>
    </xdr:from>
    <xdr:to>
      <xdr:col>7</xdr:col>
      <xdr:colOff>2054678</xdr:colOff>
      <xdr:row>6</xdr:row>
      <xdr:rowOff>357360</xdr:rowOff>
    </xdr:to>
    <xdr:sp macro="" textlink="">
      <xdr:nvSpPr>
        <xdr:cNvPr id="7" name="Cub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spect="1"/>
        </xdr:cNvSpPr>
      </xdr:nvSpPr>
      <xdr:spPr>
        <a:xfrm>
          <a:off x="6591302" y="960665"/>
          <a:ext cx="759276" cy="825445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70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1333504</xdr:colOff>
      <xdr:row>3</xdr:row>
      <xdr:rowOff>119366</xdr:rowOff>
    </xdr:from>
    <xdr:to>
      <xdr:col>3</xdr:col>
      <xdr:colOff>2182979</xdr:colOff>
      <xdr:row>6</xdr:row>
      <xdr:rowOff>361949</xdr:rowOff>
    </xdr:to>
    <xdr:sp macro="" textlink="">
      <xdr:nvSpPr>
        <xdr:cNvPr id="5" name="Cub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Aspect="1"/>
        </xdr:cNvSpPr>
      </xdr:nvSpPr>
      <xdr:spPr>
        <a:xfrm>
          <a:off x="2705104" y="757541"/>
          <a:ext cx="849475" cy="814083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5875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590550</xdr:colOff>
      <xdr:row>10</xdr:row>
      <xdr:rowOff>85725</xdr:rowOff>
    </xdr:from>
    <xdr:to>
      <xdr:col>7</xdr:col>
      <xdr:colOff>828403</xdr:colOff>
      <xdr:row>14</xdr:row>
      <xdr:rowOff>172539</xdr:rowOff>
    </xdr:to>
    <xdr:sp macro="" textlink="">
      <xdr:nvSpPr>
        <xdr:cNvPr id="23" name="Cube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spect="1"/>
        </xdr:cNvSpPr>
      </xdr:nvSpPr>
      <xdr:spPr>
        <a:xfrm>
          <a:off x="5334000" y="2219325"/>
          <a:ext cx="847453" cy="848814"/>
        </a:xfrm>
        <a:prstGeom prst="cube">
          <a:avLst/>
        </a:prstGeom>
        <a:gradFill>
          <a:gsLst>
            <a:gs pos="5000">
              <a:srgbClr val="0070C0">
                <a:lumMod val="86000"/>
                <a:lumOff val="14000"/>
              </a:srgbClr>
            </a:gs>
            <a:gs pos="49000">
              <a:schemeClr val="accent1">
                <a:tint val="50000"/>
                <a:shade val="100000"/>
                <a:satMod val="350000"/>
                <a:alpha val="22000"/>
              </a:schemeClr>
            </a:gs>
          </a:gsLst>
          <a:lin ang="15000000" scaled="0"/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631410</xdr:colOff>
      <xdr:row>10</xdr:row>
      <xdr:rowOff>108387</xdr:rowOff>
    </xdr:from>
    <xdr:to>
      <xdr:col>7</xdr:col>
      <xdr:colOff>1454370</xdr:colOff>
      <xdr:row>14</xdr:row>
      <xdr:rowOff>169347</xdr:rowOff>
    </xdr:to>
    <xdr:sp macro="" textlink="">
      <xdr:nvSpPr>
        <xdr:cNvPr id="24" name="Cube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spect="1"/>
        </xdr:cNvSpPr>
      </xdr:nvSpPr>
      <xdr:spPr>
        <a:xfrm>
          <a:off x="5927310" y="2480112"/>
          <a:ext cx="822960" cy="822960"/>
        </a:xfrm>
        <a:prstGeom prst="cube">
          <a:avLst/>
        </a:prstGeom>
        <a:gradFill>
          <a:gsLst>
            <a:gs pos="0">
              <a:srgbClr val="0070C0">
                <a:alpha val="71000"/>
                <a:lumMod val="45000"/>
              </a:srgb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  <a:path path="circle">
            <a:fillToRect l="100000" t="100000"/>
          </a:path>
        </a:gradFill>
        <a:ln w="190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228872</xdr:colOff>
      <xdr:row>10</xdr:row>
      <xdr:rowOff>100696</xdr:rowOff>
    </xdr:from>
    <xdr:to>
      <xdr:col>3</xdr:col>
      <xdr:colOff>630209</xdr:colOff>
      <xdr:row>14</xdr:row>
      <xdr:rowOff>162418</xdr:rowOff>
    </xdr:to>
    <xdr:sp macro="" textlink="">
      <xdr:nvSpPr>
        <xdr:cNvPr id="25" name="Cube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spect="1"/>
        </xdr:cNvSpPr>
      </xdr:nvSpPr>
      <xdr:spPr>
        <a:xfrm>
          <a:off x="1076597" y="2472421"/>
          <a:ext cx="868062" cy="823722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841485</xdr:colOff>
      <xdr:row>9</xdr:row>
      <xdr:rowOff>68975</xdr:rowOff>
    </xdr:from>
    <xdr:to>
      <xdr:col>7</xdr:col>
      <xdr:colOff>1664445</xdr:colOff>
      <xdr:row>13</xdr:row>
      <xdr:rowOff>129935</xdr:rowOff>
    </xdr:to>
    <xdr:sp macro="" textlink="">
      <xdr:nvSpPr>
        <xdr:cNvPr id="26" name="Cube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spect="1"/>
        </xdr:cNvSpPr>
      </xdr:nvSpPr>
      <xdr:spPr>
        <a:xfrm>
          <a:off x="6137385" y="2250200"/>
          <a:ext cx="822960" cy="822960"/>
        </a:xfrm>
        <a:prstGeom prst="cube">
          <a:avLst>
            <a:gd name="adj" fmla="val 23414"/>
          </a:avLst>
        </a:prstGeom>
        <a:gradFill>
          <a:gsLst>
            <a:gs pos="26000">
              <a:schemeClr val="accent6">
                <a:lumMod val="50000"/>
                <a:lumOff val="50000"/>
                <a:alpha val="72000"/>
              </a:schemeClr>
            </a:gs>
            <a:gs pos="0">
              <a:schemeClr val="accent1">
                <a:tint val="50000"/>
                <a:shade val="100000"/>
                <a:satMod val="350000"/>
              </a:schemeClr>
            </a:gs>
          </a:gsLst>
          <a:path path="circle">
            <a:fillToRect l="100000" t="100000"/>
          </a:path>
        </a:gradFill>
        <a:ln w="19050">
          <a:solidFill>
            <a:schemeClr val="tx1"/>
          </a:solidFill>
        </a:ln>
        <a:effectLst>
          <a:glow>
            <a:srgbClr val="FCD9BC">
              <a:alpha val="33000"/>
            </a:srgb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overflow" horzOverflow="overflow" vert="horz" lIns="0" tIns="0" rIns="0" bIns="0" rtlCol="0" anchor="ctr" anchorCtr="1">
          <a:noAutofit/>
        </a:bodyPr>
        <a:lstStyle/>
        <a:p>
          <a:pPr algn="ctr"/>
          <a:endParaRPr lang="en-US" sz="3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1254578</xdr:colOff>
      <xdr:row>10</xdr:row>
      <xdr:rowOff>77560</xdr:rowOff>
    </xdr:from>
    <xdr:to>
      <xdr:col>7</xdr:col>
      <xdr:colOff>2077538</xdr:colOff>
      <xdr:row>14</xdr:row>
      <xdr:rowOff>167096</xdr:rowOff>
    </xdr:to>
    <xdr:sp macro="" textlink="">
      <xdr:nvSpPr>
        <xdr:cNvPr id="22" name="Cube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spect="1"/>
        </xdr:cNvSpPr>
      </xdr:nvSpPr>
      <xdr:spPr>
        <a:xfrm>
          <a:off x="6550478" y="2449285"/>
          <a:ext cx="822960" cy="851536"/>
        </a:xfrm>
        <a:prstGeom prst="cube">
          <a:avLst/>
        </a:prstGeom>
        <a:gradFill>
          <a:gsLst>
            <a:gs pos="0">
              <a:schemeClr val="tx2">
                <a:lumMod val="52000"/>
                <a:lumOff val="48000"/>
              </a:schemeClr>
            </a:gs>
            <a:gs pos="100000">
              <a:schemeClr val="accent1">
                <a:tint val="50000"/>
                <a:shade val="100000"/>
                <a:satMod val="350000"/>
                <a:alpha val="42000"/>
                <a:lumMod val="35000"/>
                <a:lumOff val="65000"/>
              </a:schemeClr>
            </a:gs>
          </a:gsLst>
          <a:lin ang="15000000" scaled="0"/>
        </a:gradFill>
        <a:ln w="19050">
          <a:solidFill>
            <a:schemeClr val="tx1"/>
          </a:solidFill>
          <a:headEnd w="med" len="med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7</xdr:col>
      <xdr:colOff>930729</xdr:colOff>
      <xdr:row>10</xdr:row>
      <xdr:rowOff>155120</xdr:rowOff>
    </xdr:from>
    <xdr:ext cx="403437" cy="425905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spect="1"/>
        </xdr:cNvSpPr>
      </xdr:nvSpPr>
      <xdr:spPr>
        <a:xfrm>
          <a:off x="6198054" y="2307770"/>
          <a:ext cx="403437" cy="42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2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en-US"/>
            <a:t> </a:t>
          </a:r>
          <a:endParaRPr lang="en-US" sz="1100"/>
        </a:p>
      </xdr:txBody>
    </xdr:sp>
    <xdr:clientData/>
  </xdr:oneCellAnchor>
  <xdr:twoCellAnchor>
    <xdr:from>
      <xdr:col>7</xdr:col>
      <xdr:colOff>186840</xdr:colOff>
      <xdr:row>9</xdr:row>
      <xdr:rowOff>68974</xdr:rowOff>
    </xdr:from>
    <xdr:to>
      <xdr:col>7</xdr:col>
      <xdr:colOff>1009800</xdr:colOff>
      <xdr:row>13</xdr:row>
      <xdr:rowOff>129934</xdr:rowOff>
    </xdr:to>
    <xdr:sp macro="" textlink="">
      <xdr:nvSpPr>
        <xdr:cNvPr id="31" name="Cube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>
          <a:spLocks noChangeAspect="1"/>
        </xdr:cNvSpPr>
      </xdr:nvSpPr>
      <xdr:spPr>
        <a:xfrm>
          <a:off x="5482740" y="2250199"/>
          <a:ext cx="822960" cy="822960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1473607</xdr:colOff>
      <xdr:row>9</xdr:row>
      <xdr:rowOff>63531</xdr:rowOff>
    </xdr:from>
    <xdr:to>
      <xdr:col>7</xdr:col>
      <xdr:colOff>2296567</xdr:colOff>
      <xdr:row>13</xdr:row>
      <xdr:rowOff>124491</xdr:rowOff>
    </xdr:to>
    <xdr:sp macro="" textlink="">
      <xdr:nvSpPr>
        <xdr:cNvPr id="32" name="Cube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>
          <a:spLocks noChangeAspect="1"/>
        </xdr:cNvSpPr>
      </xdr:nvSpPr>
      <xdr:spPr>
        <a:xfrm>
          <a:off x="6769507" y="2244756"/>
          <a:ext cx="822960" cy="822960"/>
        </a:xfrm>
        <a:prstGeom prst="cube">
          <a:avLst/>
        </a:prstGeom>
        <a:gradFill>
          <a:gsLst>
            <a:gs pos="0">
              <a:schemeClr val="tx2">
                <a:lumMod val="62000"/>
                <a:lumOff val="38000"/>
              </a:schemeClr>
            </a:gs>
            <a:gs pos="100000">
              <a:schemeClr val="accent1">
                <a:tint val="50000"/>
                <a:shade val="100000"/>
                <a:satMod val="350000"/>
                <a:alpha val="42000"/>
                <a:lumMod val="35000"/>
                <a:lumOff val="65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199977</xdr:colOff>
      <xdr:row>9</xdr:row>
      <xdr:rowOff>79921</xdr:rowOff>
    </xdr:from>
    <xdr:to>
      <xdr:col>7</xdr:col>
      <xdr:colOff>1022937</xdr:colOff>
      <xdr:row>13</xdr:row>
      <xdr:rowOff>140881</xdr:rowOff>
    </xdr:to>
    <xdr:sp macro="" textlink="">
      <xdr:nvSpPr>
        <xdr:cNvPr id="44" name="Cube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>
          <a:spLocks noChangeAspect="1"/>
        </xdr:cNvSpPr>
      </xdr:nvSpPr>
      <xdr:spPr>
        <a:xfrm>
          <a:off x="5477046" y="2006818"/>
          <a:ext cx="822960" cy="805442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7</xdr:col>
      <xdr:colOff>841485</xdr:colOff>
      <xdr:row>9</xdr:row>
      <xdr:rowOff>68975</xdr:rowOff>
    </xdr:from>
    <xdr:to>
      <xdr:col>7</xdr:col>
      <xdr:colOff>1664445</xdr:colOff>
      <xdr:row>13</xdr:row>
      <xdr:rowOff>129935</xdr:rowOff>
    </xdr:to>
    <xdr:sp macro="" textlink="">
      <xdr:nvSpPr>
        <xdr:cNvPr id="45" name="Cube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>
          <a:spLocks noChangeAspect="1"/>
        </xdr:cNvSpPr>
      </xdr:nvSpPr>
      <xdr:spPr>
        <a:xfrm>
          <a:off x="6108810" y="2031125"/>
          <a:ext cx="822960" cy="822960"/>
        </a:xfrm>
        <a:prstGeom prst="cube">
          <a:avLst>
            <a:gd name="adj" fmla="val 23414"/>
          </a:avLst>
        </a:prstGeom>
        <a:gradFill>
          <a:gsLst>
            <a:gs pos="26000">
              <a:schemeClr val="accent6">
                <a:lumMod val="50000"/>
                <a:lumOff val="50000"/>
                <a:alpha val="72000"/>
              </a:schemeClr>
            </a:gs>
            <a:gs pos="0">
              <a:schemeClr val="accent1">
                <a:tint val="50000"/>
                <a:shade val="100000"/>
                <a:satMod val="350000"/>
              </a:schemeClr>
            </a:gs>
          </a:gsLst>
          <a:path path="circle">
            <a:fillToRect l="100000" t="100000"/>
          </a:path>
        </a:gradFill>
        <a:ln w="19050">
          <a:solidFill>
            <a:schemeClr val="tx1"/>
          </a:solidFill>
        </a:ln>
        <a:effectLst>
          <a:glow>
            <a:srgbClr val="FCD9BC">
              <a:alpha val="33000"/>
            </a:srgb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overflow" horzOverflow="overflow" vert="horz" lIns="0" tIns="0" rIns="0" bIns="0" rtlCol="0" anchor="ctr" anchorCtr="1">
          <a:noAutofit/>
        </a:bodyPr>
        <a:lstStyle/>
        <a:p>
          <a:pPr algn="ctr"/>
          <a:endParaRPr lang="en-US" sz="3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650233</xdr:colOff>
      <xdr:row>10</xdr:row>
      <xdr:rowOff>78827</xdr:rowOff>
    </xdr:from>
    <xdr:to>
      <xdr:col>7</xdr:col>
      <xdr:colOff>1473193</xdr:colOff>
      <xdr:row>14</xdr:row>
      <xdr:rowOff>158336</xdr:rowOff>
    </xdr:to>
    <xdr:sp macro="" textlink="">
      <xdr:nvSpPr>
        <xdr:cNvPr id="46" name="Cube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>
          <a:spLocks noChangeAspect="1"/>
        </xdr:cNvSpPr>
      </xdr:nvSpPr>
      <xdr:spPr>
        <a:xfrm>
          <a:off x="5917558" y="2231477"/>
          <a:ext cx="822960" cy="841509"/>
        </a:xfrm>
        <a:prstGeom prst="cube">
          <a:avLst/>
        </a:prstGeom>
        <a:gradFill>
          <a:gsLst>
            <a:gs pos="0">
              <a:schemeClr val="tx2">
                <a:lumMod val="52000"/>
                <a:lumOff val="48000"/>
              </a:schemeClr>
            </a:gs>
            <a:gs pos="100000">
              <a:schemeClr val="accent1">
                <a:tint val="50000"/>
                <a:shade val="100000"/>
                <a:satMod val="350000"/>
                <a:alpha val="42000"/>
                <a:lumMod val="35000"/>
                <a:lumOff val="65000"/>
              </a:schemeClr>
            </a:gs>
          </a:gsLst>
          <a:lin ang="15000000" scaled="0"/>
        </a:gradFill>
        <a:ln w="19050">
          <a:solidFill>
            <a:schemeClr val="tx1"/>
          </a:solidFill>
          <a:headEnd w="med" len="med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7</xdr:col>
      <xdr:colOff>930729</xdr:colOff>
      <xdr:row>10</xdr:row>
      <xdr:rowOff>155120</xdr:rowOff>
    </xdr:from>
    <xdr:ext cx="403437" cy="425905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spect="1"/>
        </xdr:cNvSpPr>
      </xdr:nvSpPr>
      <xdr:spPr>
        <a:xfrm>
          <a:off x="6198054" y="2307770"/>
          <a:ext cx="403437" cy="42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2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en-US"/>
            <a:t> </a:t>
          </a:r>
          <a:endParaRPr lang="en-US" sz="1100"/>
        </a:p>
      </xdr:txBody>
    </xdr:sp>
    <xdr:clientData/>
  </xdr:oneCellAnchor>
  <xdr:twoCellAnchor>
    <xdr:from>
      <xdr:col>7</xdr:col>
      <xdr:colOff>11605</xdr:colOff>
      <xdr:row>10</xdr:row>
      <xdr:rowOff>76966</xdr:rowOff>
    </xdr:from>
    <xdr:to>
      <xdr:col>7</xdr:col>
      <xdr:colOff>845920</xdr:colOff>
      <xdr:row>14</xdr:row>
      <xdr:rowOff>163780</xdr:rowOff>
    </xdr:to>
    <xdr:sp macro="" textlink="">
      <xdr:nvSpPr>
        <xdr:cNvPr id="48" name="Cube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>
          <a:spLocks noChangeAspect="1"/>
        </xdr:cNvSpPr>
      </xdr:nvSpPr>
      <xdr:spPr>
        <a:xfrm>
          <a:off x="5278930" y="2229616"/>
          <a:ext cx="834315" cy="848814"/>
        </a:xfrm>
        <a:prstGeom prst="cube">
          <a:avLst/>
        </a:prstGeom>
        <a:gradFill>
          <a:gsLst>
            <a:gs pos="5000">
              <a:srgbClr val="0070C0">
                <a:lumMod val="86000"/>
                <a:lumOff val="14000"/>
              </a:srgbClr>
            </a:gs>
            <a:gs pos="73000">
              <a:schemeClr val="accent1">
                <a:tint val="50000"/>
                <a:shade val="100000"/>
                <a:satMod val="350000"/>
                <a:alpha val="22000"/>
              </a:schemeClr>
            </a:gs>
          </a:gsLst>
          <a:lin ang="15000000" scaled="0"/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1473607</xdr:colOff>
      <xdr:row>9</xdr:row>
      <xdr:rowOff>63531</xdr:rowOff>
    </xdr:from>
    <xdr:to>
      <xdr:col>7</xdr:col>
      <xdr:colOff>2296567</xdr:colOff>
      <xdr:row>13</xdr:row>
      <xdr:rowOff>124491</xdr:rowOff>
    </xdr:to>
    <xdr:sp macro="" textlink="">
      <xdr:nvSpPr>
        <xdr:cNvPr id="49" name="Cube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>
          <a:spLocks noChangeAspect="1"/>
        </xdr:cNvSpPr>
      </xdr:nvSpPr>
      <xdr:spPr>
        <a:xfrm>
          <a:off x="6740932" y="2025681"/>
          <a:ext cx="822960" cy="822960"/>
        </a:xfrm>
        <a:prstGeom prst="cube">
          <a:avLst/>
        </a:prstGeom>
        <a:gradFill>
          <a:gsLst>
            <a:gs pos="0">
              <a:schemeClr val="tx2">
                <a:lumMod val="62000"/>
                <a:lumOff val="38000"/>
              </a:schemeClr>
            </a:gs>
            <a:gs pos="100000">
              <a:schemeClr val="accent1">
                <a:tint val="50000"/>
                <a:shade val="100000"/>
                <a:satMod val="350000"/>
                <a:alpha val="42000"/>
                <a:lumMod val="35000"/>
                <a:lumOff val="65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1253271</xdr:colOff>
      <xdr:row>10</xdr:row>
      <xdr:rowOff>82110</xdr:rowOff>
    </xdr:from>
    <xdr:to>
      <xdr:col>7</xdr:col>
      <xdr:colOff>2099574</xdr:colOff>
      <xdr:row>14</xdr:row>
      <xdr:rowOff>166413</xdr:rowOff>
    </xdr:to>
    <xdr:sp macro="" textlink="">
      <xdr:nvSpPr>
        <xdr:cNvPr id="50" name="Cube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>
          <a:spLocks noChangeAspect="1"/>
        </xdr:cNvSpPr>
      </xdr:nvSpPr>
      <xdr:spPr>
        <a:xfrm>
          <a:off x="6520596" y="2234760"/>
          <a:ext cx="846303" cy="846303"/>
        </a:xfrm>
        <a:prstGeom prst="cube">
          <a:avLst/>
        </a:prstGeom>
        <a:gradFill>
          <a:gsLst>
            <a:gs pos="0">
              <a:srgbClr val="0070C0">
                <a:alpha val="71000"/>
                <a:lumMod val="45000"/>
              </a:srgb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  <a:path path="circle">
            <a:fillToRect l="100000" t="100000"/>
          </a:path>
        </a:gradFill>
        <a:ln w="19050">
          <a:solidFill>
            <a:schemeClr val="tx1">
              <a:alpha val="97000"/>
            </a:schemeClr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228872</xdr:colOff>
      <xdr:row>10</xdr:row>
      <xdr:rowOff>100696</xdr:rowOff>
    </xdr:from>
    <xdr:to>
      <xdr:col>3</xdr:col>
      <xdr:colOff>630209</xdr:colOff>
      <xdr:row>14</xdr:row>
      <xdr:rowOff>162418</xdr:rowOff>
    </xdr:to>
    <xdr:sp macro="" textlink="">
      <xdr:nvSpPr>
        <xdr:cNvPr id="55" name="Cube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>
          <a:spLocks noChangeAspect="1"/>
        </xdr:cNvSpPr>
      </xdr:nvSpPr>
      <xdr:spPr>
        <a:xfrm>
          <a:off x="1133747" y="2253346"/>
          <a:ext cx="868062" cy="823722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1304318</xdr:colOff>
      <xdr:row>9</xdr:row>
      <xdr:rowOff>80013</xdr:rowOff>
    </xdr:from>
    <xdr:to>
      <xdr:col>3</xdr:col>
      <xdr:colOff>2182332</xdr:colOff>
      <xdr:row>13</xdr:row>
      <xdr:rowOff>141735</xdr:rowOff>
    </xdr:to>
    <xdr:sp macro="" textlink="">
      <xdr:nvSpPr>
        <xdr:cNvPr id="56" name="Cube 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>
          <a:spLocks noChangeAspect="1"/>
        </xdr:cNvSpPr>
      </xdr:nvSpPr>
      <xdr:spPr>
        <a:xfrm>
          <a:off x="2675918" y="2042163"/>
          <a:ext cx="878014" cy="823722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9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431347</xdr:colOff>
      <xdr:row>10</xdr:row>
      <xdr:rowOff>102329</xdr:rowOff>
    </xdr:from>
    <xdr:to>
      <xdr:col>3</xdr:col>
      <xdr:colOff>1305209</xdr:colOff>
      <xdr:row>14</xdr:row>
      <xdr:rowOff>164051</xdr:rowOff>
    </xdr:to>
    <xdr:sp macro="" textlink="">
      <xdr:nvSpPr>
        <xdr:cNvPr id="57" name="Cube 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>
          <a:spLocks noChangeAspect="1"/>
        </xdr:cNvSpPr>
      </xdr:nvSpPr>
      <xdr:spPr>
        <a:xfrm>
          <a:off x="1802947" y="2254979"/>
          <a:ext cx="873862" cy="823722"/>
        </a:xfrm>
        <a:prstGeom prst="cube">
          <a:avLst/>
        </a:prstGeom>
        <a:gradFill>
          <a:gsLst>
            <a:gs pos="0">
              <a:srgbClr val="0070C0">
                <a:alpha val="62000"/>
              </a:srgb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  <a:lin ang="16200000" scaled="0"/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1099186</xdr:colOff>
      <xdr:row>10</xdr:row>
      <xdr:rowOff>100968</xdr:rowOff>
    </xdr:from>
    <xdr:to>
      <xdr:col>3</xdr:col>
      <xdr:colOff>1973048</xdr:colOff>
      <xdr:row>14</xdr:row>
      <xdr:rowOff>162690</xdr:rowOff>
    </xdr:to>
    <xdr:sp macro="" textlink="">
      <xdr:nvSpPr>
        <xdr:cNvPr id="58" name="Cube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>
          <a:spLocks noChangeAspect="1"/>
        </xdr:cNvSpPr>
      </xdr:nvSpPr>
      <xdr:spPr>
        <a:xfrm>
          <a:off x="2470786" y="2253618"/>
          <a:ext cx="873862" cy="823722"/>
        </a:xfrm>
        <a:prstGeom prst="cube">
          <a:avLst/>
        </a:prstGeom>
        <a:gradFill>
          <a:gsLst>
            <a:gs pos="0">
              <a:schemeClr val="accent6">
                <a:alpha val="62000"/>
                <a:lumMod val="100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r"/>
          <a:r>
            <a:rPr lang="en-US" sz="32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2</xdr:col>
      <xdr:colOff>228872</xdr:colOff>
      <xdr:row>10</xdr:row>
      <xdr:rowOff>100696</xdr:rowOff>
    </xdr:from>
    <xdr:to>
      <xdr:col>3</xdr:col>
      <xdr:colOff>630209</xdr:colOff>
      <xdr:row>14</xdr:row>
      <xdr:rowOff>162418</xdr:rowOff>
    </xdr:to>
    <xdr:sp macro="" textlink="">
      <xdr:nvSpPr>
        <xdr:cNvPr id="59" name="Cube 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>
          <a:spLocks noChangeAspect="1"/>
        </xdr:cNvSpPr>
      </xdr:nvSpPr>
      <xdr:spPr>
        <a:xfrm>
          <a:off x="1133747" y="2253346"/>
          <a:ext cx="868062" cy="823722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2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1304318</xdr:colOff>
      <xdr:row>9</xdr:row>
      <xdr:rowOff>80013</xdr:rowOff>
    </xdr:from>
    <xdr:to>
      <xdr:col>3</xdr:col>
      <xdr:colOff>2182332</xdr:colOff>
      <xdr:row>13</xdr:row>
      <xdr:rowOff>141735</xdr:rowOff>
    </xdr:to>
    <xdr:sp macro="" textlink="">
      <xdr:nvSpPr>
        <xdr:cNvPr id="60" name="Cube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>
          <a:spLocks noChangeAspect="1"/>
        </xdr:cNvSpPr>
      </xdr:nvSpPr>
      <xdr:spPr>
        <a:xfrm>
          <a:off x="2675918" y="2042163"/>
          <a:ext cx="878014" cy="823722"/>
        </a:xfrm>
        <a:prstGeom prst="cube">
          <a:avLst/>
        </a:prstGeom>
        <a:gradFill>
          <a:gsLst>
            <a:gs pos="0">
              <a:schemeClr val="accent1">
                <a:tint val="100000"/>
                <a:shade val="100000"/>
                <a:satMod val="130000"/>
                <a:alpha val="69000"/>
              </a:scheme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431347</xdr:colOff>
      <xdr:row>10</xdr:row>
      <xdr:rowOff>102329</xdr:rowOff>
    </xdr:from>
    <xdr:to>
      <xdr:col>3</xdr:col>
      <xdr:colOff>1305209</xdr:colOff>
      <xdr:row>14</xdr:row>
      <xdr:rowOff>164051</xdr:rowOff>
    </xdr:to>
    <xdr:sp macro="" textlink="">
      <xdr:nvSpPr>
        <xdr:cNvPr id="61" name="Cube 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>
          <a:spLocks noChangeAspect="1"/>
        </xdr:cNvSpPr>
      </xdr:nvSpPr>
      <xdr:spPr>
        <a:xfrm>
          <a:off x="1802947" y="2254979"/>
          <a:ext cx="873862" cy="823722"/>
        </a:xfrm>
        <a:prstGeom prst="cube">
          <a:avLst/>
        </a:prstGeom>
        <a:gradFill>
          <a:gsLst>
            <a:gs pos="0">
              <a:srgbClr val="0070C0">
                <a:alpha val="62000"/>
              </a:srgbClr>
            </a:gs>
            <a:gs pos="100000">
              <a:schemeClr val="accent1">
                <a:tint val="50000"/>
                <a:shade val="100000"/>
                <a:satMod val="350000"/>
              </a:schemeClr>
            </a:gs>
          </a:gsLst>
          <a:lin ang="16200000" scaled="0"/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1099186</xdr:colOff>
      <xdr:row>10</xdr:row>
      <xdr:rowOff>100968</xdr:rowOff>
    </xdr:from>
    <xdr:to>
      <xdr:col>3</xdr:col>
      <xdr:colOff>1973048</xdr:colOff>
      <xdr:row>14</xdr:row>
      <xdr:rowOff>162690</xdr:rowOff>
    </xdr:to>
    <xdr:sp macro="" textlink="">
      <xdr:nvSpPr>
        <xdr:cNvPr id="62" name="Cube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>
          <a:spLocks noChangeAspect="1"/>
        </xdr:cNvSpPr>
      </xdr:nvSpPr>
      <xdr:spPr>
        <a:xfrm>
          <a:off x="2470786" y="2253618"/>
          <a:ext cx="873862" cy="823722"/>
        </a:xfrm>
        <a:prstGeom prst="cube">
          <a:avLst/>
        </a:prstGeom>
        <a:gradFill>
          <a:gsLst>
            <a:gs pos="0">
              <a:schemeClr val="accent6">
                <a:alpha val="62000"/>
                <a:lumMod val="100000"/>
              </a:schemeClr>
            </a:gs>
            <a:gs pos="100000">
              <a:schemeClr val="accent6">
                <a:lumMod val="60000"/>
                <a:lumOff val="40000"/>
              </a:schemeClr>
            </a:gs>
          </a:gsLst>
        </a:gradFill>
        <a:ln w="19050"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r"/>
          <a:r>
            <a:rPr lang="en-US" sz="32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847725</xdr:colOff>
      <xdr:row>0</xdr:row>
      <xdr:rowOff>123825</xdr:rowOff>
    </xdr:from>
    <xdr:to>
      <xdr:col>15</xdr:col>
      <xdr:colOff>2190750</xdr:colOff>
      <xdr:row>4</xdr:row>
      <xdr:rowOff>152400</xdr:rowOff>
    </xdr:to>
    <xdr:pic>
      <xdr:nvPicPr>
        <xdr:cNvPr id="23553" name="Picture 1">
          <a:extLst>
            <a:ext uri="{FF2B5EF4-FFF2-40B4-BE49-F238E27FC236}">
              <a16:creationId xmlns:a16="http://schemas.microsoft.com/office/drawing/2014/main" id="{00000000-0008-0000-0800-000001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23825"/>
          <a:ext cx="56864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295275</xdr:colOff>
      <xdr:row>5</xdr:row>
      <xdr:rowOff>152400</xdr:rowOff>
    </xdr:from>
    <xdr:to>
      <xdr:col>14</xdr:col>
      <xdr:colOff>323850</xdr:colOff>
      <xdr:row>10</xdr:row>
      <xdr:rowOff>180975</xdr:rowOff>
    </xdr:to>
    <xdr:pic>
      <xdr:nvPicPr>
        <xdr:cNvPr id="23554" name="Picture 5">
          <a:extLst>
            <a:ext uri="{FF2B5EF4-FFF2-40B4-BE49-F238E27FC236}">
              <a16:creationId xmlns:a16="http://schemas.microsoft.com/office/drawing/2014/main" id="{00000000-0008-0000-0800-000002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114425"/>
          <a:ext cx="17430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142875</xdr:colOff>
      <xdr:row>6</xdr:row>
      <xdr:rowOff>180975</xdr:rowOff>
    </xdr:from>
    <xdr:to>
      <xdr:col>15</xdr:col>
      <xdr:colOff>2219325</xdr:colOff>
      <xdr:row>10</xdr:row>
      <xdr:rowOff>180975</xdr:rowOff>
    </xdr:to>
    <xdr:pic>
      <xdr:nvPicPr>
        <xdr:cNvPr id="23555" name="Picture 6" descr="http://www.iremnyc.org/irem/FileContents.phx?fileid=7a3ddc82-23d7-4bd4-a1bc-3ef19df7779d">
          <a:extLst>
            <a:ext uri="{FF2B5EF4-FFF2-40B4-BE49-F238E27FC236}">
              <a16:creationId xmlns:a16="http://schemas.microsoft.com/office/drawing/2014/main" id="{00000000-0008-0000-0800-000003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333500"/>
          <a:ext cx="20764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503465</xdr:colOff>
      <xdr:row>1</xdr:row>
      <xdr:rowOff>189020</xdr:rowOff>
    </xdr:from>
    <xdr:to>
      <xdr:col>6</xdr:col>
      <xdr:colOff>95251</xdr:colOff>
      <xdr:row>13</xdr:row>
      <xdr:rowOff>68035</xdr:rowOff>
    </xdr:to>
    <xdr:sp macro="" textlink="">
      <xdr:nvSpPr>
        <xdr:cNvPr id="2" name="Flowchart: Dat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115786" y="189020"/>
          <a:ext cx="3116036" cy="2165015"/>
        </a:xfrm>
        <a:prstGeom prst="flowChartInputOutpu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 </a:t>
          </a:r>
          <a:r>
            <a:rPr lang="en-US" sz="1200"/>
            <a:t>Gather Essential Data</a:t>
          </a:r>
        </a:p>
        <a:p>
          <a:pPr algn="l"/>
          <a:r>
            <a:rPr lang="en-US" sz="1200"/>
            <a:t>-------------------------------</a:t>
          </a:r>
        </a:p>
        <a:p>
          <a:pPr algn="l"/>
          <a:r>
            <a:rPr lang="en-US" sz="1200"/>
            <a:t>Nearest weather</a:t>
          </a:r>
          <a:r>
            <a:rPr lang="en-US" sz="1200" baseline="0"/>
            <a:t> station</a:t>
          </a:r>
        </a:p>
        <a:p>
          <a:pPr algn="l"/>
          <a:r>
            <a:rPr lang="en-US" sz="1200" baseline="0"/>
            <a:t>House floor area</a:t>
          </a:r>
        </a:p>
        <a:p>
          <a:pPr algn="l"/>
          <a:r>
            <a:rPr lang="en-US" sz="1200" baseline="0"/>
            <a:t>Ceiling height</a:t>
          </a:r>
        </a:p>
        <a:p>
          <a:pPr algn="l"/>
          <a:r>
            <a:rPr lang="en-US" sz="1200" baseline="0"/>
            <a:t>Number of stories</a:t>
          </a:r>
        </a:p>
        <a:p>
          <a:pPr algn="l"/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</a:t>
          </a:r>
          <a:r>
            <a:rPr lang="en-US" sz="1200" baseline="0"/>
            <a:t>of occupants</a:t>
          </a:r>
        </a:p>
        <a:p>
          <a:pPr algn="l"/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</a:t>
          </a:r>
          <a:r>
            <a:rPr lang="en-US" sz="1200" baseline="0"/>
            <a:t>of bedrooms</a:t>
          </a:r>
        </a:p>
        <a:p>
          <a:pPr algn="l"/>
          <a:r>
            <a:rPr lang="en-US" sz="1200" baseline="0"/>
            <a:t>Kitchen fan CFM</a:t>
          </a:r>
        </a:p>
        <a:p>
          <a:pPr algn="l"/>
          <a:r>
            <a:rPr lang="en-US" sz="1200" baseline="0"/>
            <a:t>Bath fan(s) CFM</a:t>
          </a:r>
        </a:p>
        <a:p>
          <a:pPr algn="l"/>
          <a:r>
            <a:rPr lang="en-US" sz="1200"/>
            <a:t>Post</a:t>
          </a:r>
          <a:r>
            <a:rPr lang="en-US" sz="1200" baseline="0"/>
            <a:t> blower door </a:t>
          </a:r>
          <a:r>
            <a:rPr lang="en-US" sz="1100" baseline="0"/>
            <a:t>CFM@50</a:t>
          </a:r>
          <a:endParaRPr lang="en-US" sz="1100"/>
        </a:p>
      </xdr:txBody>
    </xdr:sp>
    <xdr:clientData/>
  </xdr:twoCellAnchor>
  <xdr:twoCellAnchor>
    <xdr:from>
      <xdr:col>0</xdr:col>
      <xdr:colOff>216914</xdr:colOff>
      <xdr:row>15</xdr:row>
      <xdr:rowOff>86113</xdr:rowOff>
    </xdr:from>
    <xdr:to>
      <xdr:col>5</xdr:col>
      <xdr:colOff>347382</xdr:colOff>
      <xdr:row>23</xdr:row>
      <xdr:rowOff>48014</xdr:rowOff>
    </xdr:to>
    <xdr:sp macro="" textlink="">
      <xdr:nvSpPr>
        <xdr:cNvPr id="3" name="Flowchart: Decisio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16914" y="3111701"/>
          <a:ext cx="3021586" cy="1485901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/>
            <a:t>Is local ventilation working properly?</a:t>
          </a:r>
        </a:p>
        <a:p>
          <a:pPr algn="l"/>
          <a:r>
            <a:rPr lang="en-US" sz="1200"/>
            <a:t>(Kitchen &amp; bath fans)</a:t>
          </a:r>
        </a:p>
      </xdr:txBody>
    </xdr:sp>
    <xdr:clientData/>
  </xdr:twoCellAnchor>
  <xdr:twoCellAnchor>
    <xdr:from>
      <xdr:col>2</xdr:col>
      <xdr:colOff>517472</xdr:colOff>
      <xdr:row>13</xdr:row>
      <xdr:rowOff>68035</xdr:rowOff>
    </xdr:from>
    <xdr:to>
      <xdr:col>2</xdr:col>
      <xdr:colOff>528438</xdr:colOff>
      <xdr:row>15</xdr:row>
      <xdr:rowOff>86113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>
          <a:stCxn id="2" idx="3"/>
          <a:endCxn id="3" idx="0"/>
        </xdr:cNvCxnSpPr>
      </xdr:nvCxnSpPr>
      <xdr:spPr>
        <a:xfrm flipH="1">
          <a:off x="1727707" y="2712623"/>
          <a:ext cx="10966" cy="39907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347382</xdr:colOff>
      <xdr:row>19</xdr:row>
      <xdr:rowOff>63313</xdr:rowOff>
    </xdr:from>
    <xdr:to>
      <xdr:col>6</xdr:col>
      <xdr:colOff>485775</xdr:colOff>
      <xdr:row>19</xdr:row>
      <xdr:rowOff>67064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>
          <a:stCxn id="3" idx="3"/>
          <a:endCxn id="55" idx="1"/>
        </xdr:cNvCxnSpPr>
      </xdr:nvCxnSpPr>
      <xdr:spPr>
        <a:xfrm flipV="1">
          <a:off x="3238500" y="3850901"/>
          <a:ext cx="743510" cy="375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371476</xdr:colOff>
      <xdr:row>41</xdr:row>
      <xdr:rowOff>19051</xdr:rowOff>
    </xdr:from>
    <xdr:to>
      <xdr:col>6</xdr:col>
      <xdr:colOff>47626</xdr:colOff>
      <xdr:row>46</xdr:row>
      <xdr:rowOff>9525</xdr:rowOff>
    </xdr:to>
    <xdr:sp macro="" textlink="">
      <xdr:nvSpPr>
        <xdr:cNvPr id="6" name="Flowchart: Predefined Process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4400551" y="7639051"/>
          <a:ext cx="2581275" cy="942974"/>
        </a:xfrm>
        <a:prstGeom prst="flowChartPredefined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ctr"/>
          <a:r>
            <a:rPr lang="en-US" sz="1200"/>
            <a:t>Calculate minimum whole house ventilation per 62.2</a:t>
          </a:r>
          <a:r>
            <a:rPr lang="en-US" sz="1200" baseline="0"/>
            <a:t> standard</a:t>
          </a:r>
          <a:endParaRPr lang="en-US" sz="1200"/>
        </a:p>
      </xdr:txBody>
    </xdr:sp>
    <xdr:clientData/>
  </xdr:twoCellAnchor>
  <xdr:twoCellAnchor>
    <xdr:from>
      <xdr:col>5</xdr:col>
      <xdr:colOff>307603</xdr:colOff>
      <xdr:row>17</xdr:row>
      <xdr:rowOff>131669</xdr:rowOff>
    </xdr:from>
    <xdr:to>
      <xdr:col>6</xdr:col>
      <xdr:colOff>102536</xdr:colOff>
      <xdr:row>18</xdr:row>
      <xdr:rowOff>188819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3198721" y="3538257"/>
          <a:ext cx="4000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No</a:t>
          </a:r>
          <a:endParaRPr lang="en-US" sz="1100"/>
        </a:p>
      </xdr:txBody>
    </xdr:sp>
    <xdr:clientData/>
  </xdr:twoCellAnchor>
  <xdr:twoCellAnchor>
    <xdr:from>
      <xdr:col>2</xdr:col>
      <xdr:colOff>2898</xdr:colOff>
      <xdr:row>23</xdr:row>
      <xdr:rowOff>147844</xdr:rowOff>
    </xdr:from>
    <xdr:to>
      <xdr:col>2</xdr:col>
      <xdr:colOff>402949</xdr:colOff>
      <xdr:row>25</xdr:row>
      <xdr:rowOff>43070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4641573" y="4338844"/>
          <a:ext cx="400051" cy="276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Yes</a:t>
          </a:r>
          <a:endParaRPr lang="en-US" sz="1100"/>
        </a:p>
      </xdr:txBody>
    </xdr:sp>
    <xdr:clientData/>
  </xdr:twoCellAnchor>
  <xdr:twoCellAnchor>
    <xdr:from>
      <xdr:col>2</xdr:col>
      <xdr:colOff>515471</xdr:colOff>
      <xdr:row>23</xdr:row>
      <xdr:rowOff>48014</xdr:rowOff>
    </xdr:from>
    <xdr:to>
      <xdr:col>2</xdr:col>
      <xdr:colOff>517472</xdr:colOff>
      <xdr:row>41</xdr:row>
      <xdr:rowOff>11206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CxnSpPr>
          <a:stCxn id="3" idx="2"/>
        </xdr:cNvCxnSpPr>
      </xdr:nvCxnSpPr>
      <xdr:spPr>
        <a:xfrm flipH="1">
          <a:off x="1725706" y="4597602"/>
          <a:ext cx="2001" cy="339219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440873</xdr:colOff>
      <xdr:row>37</xdr:row>
      <xdr:rowOff>83507</xdr:rowOff>
    </xdr:from>
    <xdr:to>
      <xdr:col>6</xdr:col>
      <xdr:colOff>220437</xdr:colOff>
      <xdr:row>41</xdr:row>
      <xdr:rowOff>19051</xdr:rowOff>
    </xdr:to>
    <xdr:cxnSp macro="">
      <xdr:nvCxnSpPr>
        <xdr:cNvPr id="10" name="Elbow Connector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CxnSpPr>
          <a:stCxn id="57" idx="1"/>
          <a:endCxn id="6" idx="0"/>
        </xdr:cNvCxnSpPr>
      </xdr:nvCxnSpPr>
      <xdr:spPr>
        <a:xfrm rot="10800000" flipV="1">
          <a:off x="2890159" y="6941507"/>
          <a:ext cx="1466849" cy="697544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152399</xdr:colOff>
      <xdr:row>26</xdr:row>
      <xdr:rowOff>180974</xdr:rowOff>
    </xdr:from>
    <xdr:to>
      <xdr:col>5</xdr:col>
      <xdr:colOff>552450</xdr:colOff>
      <xdr:row>28</xdr:row>
      <xdr:rowOff>76200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/>
      </xdr:nvSpPr>
      <xdr:spPr>
        <a:xfrm>
          <a:off x="6476999" y="4943474"/>
          <a:ext cx="400051" cy="276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Yes</a:t>
          </a:r>
          <a:endParaRPr lang="en-US" sz="1100"/>
        </a:p>
      </xdr:txBody>
    </xdr:sp>
    <xdr:clientData/>
  </xdr:twoCellAnchor>
  <xdr:twoCellAnchor>
    <xdr:from>
      <xdr:col>7</xdr:col>
      <xdr:colOff>381001</xdr:colOff>
      <xdr:row>32</xdr:row>
      <xdr:rowOff>142875</xdr:rowOff>
    </xdr:from>
    <xdr:to>
      <xdr:col>8</xdr:col>
      <xdr:colOff>171451</xdr:colOff>
      <xdr:row>34</xdr:row>
      <xdr:rowOff>9525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7924801" y="6048375"/>
          <a:ext cx="4000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No</a:t>
          </a:r>
          <a:endParaRPr lang="en-US" sz="1100"/>
        </a:p>
      </xdr:txBody>
    </xdr:sp>
    <xdr:clientData/>
  </xdr:twoCellAnchor>
  <xdr:twoCellAnchor>
    <xdr:from>
      <xdr:col>3</xdr:col>
      <xdr:colOff>200031</xdr:colOff>
      <xdr:row>28</xdr:row>
      <xdr:rowOff>136072</xdr:rowOff>
    </xdr:from>
    <xdr:to>
      <xdr:col>5</xdr:col>
      <xdr:colOff>517071</xdr:colOff>
      <xdr:row>41</xdr:row>
      <xdr:rowOff>19048</xdr:rowOff>
    </xdr:to>
    <xdr:cxnSp macro="">
      <xdr:nvCxnSpPr>
        <xdr:cNvPr id="13" name="Elbow Connector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CxnSpPr>
          <a:stCxn id="56" idx="1"/>
        </xdr:cNvCxnSpPr>
      </xdr:nvCxnSpPr>
      <xdr:spPr>
        <a:xfrm rot="10800000" flipV="1">
          <a:off x="2649317" y="5279572"/>
          <a:ext cx="1392004" cy="2359476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171450</xdr:colOff>
      <xdr:row>5</xdr:row>
      <xdr:rowOff>95249</xdr:rowOff>
    </xdr:from>
    <xdr:to>
      <xdr:col>24</xdr:col>
      <xdr:colOff>238125</xdr:colOff>
      <xdr:row>14</xdr:row>
      <xdr:rowOff>9525</xdr:rowOff>
    </xdr:to>
    <xdr:sp macro="" textlink="">
      <xdr:nvSpPr>
        <xdr:cNvPr id="16" name="Flowchart: Decision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4200525" y="10572749"/>
          <a:ext cx="2971800" cy="1628776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ctr"/>
          <a:r>
            <a:rPr lang="en-US" sz="1200"/>
            <a:t>Can a blower door test be performed?</a:t>
          </a:r>
        </a:p>
      </xdr:txBody>
    </xdr:sp>
    <xdr:clientData/>
  </xdr:twoCellAnchor>
  <xdr:twoCellAnchor>
    <xdr:from>
      <xdr:col>24</xdr:col>
      <xdr:colOff>262778</xdr:colOff>
      <xdr:row>8</xdr:row>
      <xdr:rowOff>39220</xdr:rowOff>
    </xdr:from>
    <xdr:to>
      <xdr:col>25</xdr:col>
      <xdr:colOff>91328</xdr:colOff>
      <xdr:row>9</xdr:row>
      <xdr:rowOff>86845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14651131" y="1731308"/>
          <a:ext cx="433668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No</a:t>
          </a:r>
          <a:endParaRPr lang="en-US" sz="1100"/>
        </a:p>
      </xdr:txBody>
    </xdr:sp>
    <xdr:clientData/>
  </xdr:twoCellAnchor>
  <xdr:twoCellAnchor>
    <xdr:from>
      <xdr:col>20</xdr:col>
      <xdr:colOff>514350</xdr:colOff>
      <xdr:row>14</xdr:row>
      <xdr:rowOff>104775</xdr:rowOff>
    </xdr:from>
    <xdr:to>
      <xdr:col>21</xdr:col>
      <xdr:colOff>323850</xdr:colOff>
      <xdr:row>15</xdr:row>
      <xdr:rowOff>180975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 txBox="1"/>
      </xdr:nvSpPr>
      <xdr:spPr>
        <a:xfrm>
          <a:off x="5153025" y="12296775"/>
          <a:ext cx="41910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Yes</a:t>
          </a:r>
          <a:endParaRPr lang="en-US" sz="1100"/>
        </a:p>
      </xdr:txBody>
    </xdr:sp>
    <xdr:clientData/>
  </xdr:twoCellAnchor>
  <xdr:twoCellAnchor>
    <xdr:from>
      <xdr:col>19</xdr:col>
      <xdr:colOff>175932</xdr:colOff>
      <xdr:row>17</xdr:row>
      <xdr:rowOff>19050</xdr:rowOff>
    </xdr:from>
    <xdr:to>
      <xdr:col>24</xdr:col>
      <xdr:colOff>246529</xdr:colOff>
      <xdr:row>21</xdr:row>
      <xdr:rowOff>56030</xdr:rowOff>
    </xdr:to>
    <xdr:sp macro="" textlink="">
      <xdr:nvSpPr>
        <xdr:cNvPr id="20" name="Flowchart: Predefined Process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11538697" y="3425638"/>
          <a:ext cx="3096185" cy="798980"/>
        </a:xfrm>
        <a:prstGeom prst="flowChartPredefined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ctr"/>
          <a:r>
            <a:rPr lang="en-US" sz="1200"/>
            <a:t>Recalculate whole house ventilation using infiltration credit</a:t>
          </a:r>
        </a:p>
      </xdr:txBody>
    </xdr:sp>
    <xdr:clientData/>
  </xdr:twoCellAnchor>
  <xdr:twoCellAnchor>
    <xdr:from>
      <xdr:col>21</xdr:col>
      <xdr:colOff>507347</xdr:colOff>
      <xdr:row>14</xdr:row>
      <xdr:rowOff>9525</xdr:rowOff>
    </xdr:from>
    <xdr:to>
      <xdr:col>21</xdr:col>
      <xdr:colOff>513790</xdr:colOff>
      <xdr:row>17</xdr:row>
      <xdr:rowOff>19050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>
          <a:stCxn id="16" idx="2"/>
          <a:endCxn id="20" idx="0"/>
        </xdr:cNvCxnSpPr>
      </xdr:nvCxnSpPr>
      <xdr:spPr>
        <a:xfrm>
          <a:off x="13080347" y="2844613"/>
          <a:ext cx="6443" cy="5810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120864</xdr:colOff>
      <xdr:row>24</xdr:row>
      <xdr:rowOff>4804</xdr:rowOff>
    </xdr:from>
    <xdr:to>
      <xdr:col>24</xdr:col>
      <xdr:colOff>313764</xdr:colOff>
      <xdr:row>31</xdr:row>
      <xdr:rowOff>123265</xdr:rowOff>
    </xdr:to>
    <xdr:sp macro="" textlink="">
      <xdr:nvSpPr>
        <xdr:cNvPr id="22" name="Flowchart: Decision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11483629" y="4744892"/>
          <a:ext cx="3218488" cy="1451961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/>
            <a:t>Does the calculator indicate</a:t>
          </a:r>
          <a:r>
            <a:rPr lang="en-US" sz="1200" baseline="0"/>
            <a:t> a need for additional ventilation?</a:t>
          </a:r>
          <a:endParaRPr lang="en-US" sz="1200"/>
        </a:p>
      </xdr:txBody>
    </xdr:sp>
    <xdr:clientData/>
  </xdr:twoCellAnchor>
  <xdr:twoCellAnchor>
    <xdr:from>
      <xdr:col>19</xdr:col>
      <xdr:colOff>149678</xdr:colOff>
      <xdr:row>34</xdr:row>
      <xdr:rowOff>152400</xdr:rowOff>
    </xdr:from>
    <xdr:to>
      <xdr:col>24</xdr:col>
      <xdr:colOff>299357</xdr:colOff>
      <xdr:row>42</xdr:row>
      <xdr:rowOff>95250</xdr:rowOff>
    </xdr:to>
    <xdr:sp macro="" textlink="">
      <xdr:nvSpPr>
        <xdr:cNvPr id="23" name="Flowchart: Decision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11634107" y="6806293"/>
          <a:ext cx="3211286" cy="1466850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/>
            <a:t>Is mechanical ventilation greater than 60 CFM needed</a:t>
          </a:r>
          <a:r>
            <a:rPr lang="en-US" sz="1200" baseline="0"/>
            <a:t>?</a:t>
          </a:r>
          <a:endParaRPr lang="en-US" sz="1200"/>
        </a:p>
      </xdr:txBody>
    </xdr:sp>
    <xdr:clientData/>
  </xdr:twoCellAnchor>
  <xdr:twoCellAnchor>
    <xdr:from>
      <xdr:col>15</xdr:col>
      <xdr:colOff>108858</xdr:colOff>
      <xdr:row>26</xdr:row>
      <xdr:rowOff>24494</xdr:rowOff>
    </xdr:from>
    <xdr:to>
      <xdr:col>18</xdr:col>
      <xdr:colOff>326572</xdr:colOff>
      <xdr:row>29</xdr:row>
      <xdr:rowOff>100694</xdr:rowOff>
    </xdr:to>
    <xdr:sp macro="" textlink="">
      <xdr:nvSpPr>
        <xdr:cNvPr id="24" name="Flowchart: Alternate Process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9756322" y="4786994"/>
          <a:ext cx="2054679" cy="647700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ctr"/>
          <a:r>
            <a:rPr lang="en-US" sz="1200"/>
            <a:t>Adequate ventilation exists</a:t>
          </a:r>
        </a:p>
      </xdr:txBody>
    </xdr:sp>
    <xdr:clientData/>
  </xdr:twoCellAnchor>
  <xdr:twoCellAnchor>
    <xdr:from>
      <xdr:col>14</xdr:col>
      <xdr:colOff>549090</xdr:colOff>
      <xdr:row>41</xdr:row>
      <xdr:rowOff>67237</xdr:rowOff>
    </xdr:from>
    <xdr:to>
      <xdr:col>19</xdr:col>
      <xdr:colOff>493059</xdr:colOff>
      <xdr:row>48</xdr:row>
      <xdr:rowOff>1</xdr:rowOff>
    </xdr:to>
    <xdr:sp macro="" textlink="">
      <xdr:nvSpPr>
        <xdr:cNvPr id="25" name="Flowchart: Decision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8886266" y="8045825"/>
          <a:ext cx="2969558" cy="1266264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45720" rIns="45720" rtlCol="0" anchor="t"/>
        <a:lstStyle/>
        <a:p>
          <a:pPr algn="ctr"/>
          <a:r>
            <a:rPr lang="en-US" sz="1200"/>
            <a:t>Is the home in climate zone 4 or less?</a:t>
          </a:r>
        </a:p>
      </xdr:txBody>
    </xdr:sp>
    <xdr:clientData/>
  </xdr:twoCellAnchor>
  <xdr:twoCellAnchor>
    <xdr:from>
      <xdr:col>24</xdr:col>
      <xdr:colOff>238125</xdr:colOff>
      <xdr:row>9</xdr:row>
      <xdr:rowOff>147637</xdr:rowOff>
    </xdr:from>
    <xdr:to>
      <xdr:col>24</xdr:col>
      <xdr:colOff>313764</xdr:colOff>
      <xdr:row>27</xdr:row>
      <xdr:rowOff>159285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CxnSpPr>
          <a:stCxn id="16" idx="3"/>
          <a:endCxn id="22" idx="3"/>
        </xdr:cNvCxnSpPr>
      </xdr:nvCxnSpPr>
      <xdr:spPr>
        <a:xfrm>
          <a:off x="14626478" y="2030225"/>
          <a:ext cx="75639" cy="3440648"/>
        </a:xfrm>
        <a:prstGeom prst="bentConnector3">
          <a:avLst>
            <a:gd name="adj1" fmla="val 402225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513790</xdr:colOff>
      <xdr:row>21</xdr:row>
      <xdr:rowOff>56030</xdr:rowOff>
    </xdr:from>
    <xdr:to>
      <xdr:col>21</xdr:col>
      <xdr:colOff>519873</xdr:colOff>
      <xdr:row>24</xdr:row>
      <xdr:rowOff>4804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CxnSpPr>
          <a:stCxn id="20" idx="2"/>
          <a:endCxn id="22" idx="0"/>
        </xdr:cNvCxnSpPr>
      </xdr:nvCxnSpPr>
      <xdr:spPr>
        <a:xfrm>
          <a:off x="13086790" y="4224618"/>
          <a:ext cx="6083" cy="52027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519873</xdr:colOff>
      <xdr:row>31</xdr:row>
      <xdr:rowOff>123265</xdr:rowOff>
    </xdr:from>
    <xdr:to>
      <xdr:col>21</xdr:col>
      <xdr:colOff>527077</xdr:colOff>
      <xdr:row>34</xdr:row>
      <xdr:rowOff>152400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CxnSpPr>
          <a:stCxn id="22" idx="2"/>
          <a:endCxn id="23" idx="0"/>
        </xdr:cNvCxnSpPr>
      </xdr:nvCxnSpPr>
      <xdr:spPr>
        <a:xfrm>
          <a:off x="13092873" y="6196853"/>
          <a:ext cx="7204" cy="60063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326572</xdr:colOff>
      <xdr:row>27</xdr:row>
      <xdr:rowOff>157844</xdr:rowOff>
    </xdr:from>
    <xdr:to>
      <xdr:col>19</xdr:col>
      <xdr:colOff>120864</xdr:colOff>
      <xdr:row>27</xdr:row>
      <xdr:rowOff>159285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CxnSpPr>
          <a:stCxn id="22" idx="1"/>
          <a:endCxn id="24" idx="3"/>
        </xdr:cNvCxnSpPr>
      </xdr:nvCxnSpPr>
      <xdr:spPr>
        <a:xfrm flipH="1" flipV="1">
          <a:off x="11084219" y="5469432"/>
          <a:ext cx="399410" cy="144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218516</xdr:colOff>
      <xdr:row>38</xdr:row>
      <xdr:rowOff>123825</xdr:rowOff>
    </xdr:from>
    <xdr:to>
      <xdr:col>19</xdr:col>
      <xdr:colOff>149678</xdr:colOff>
      <xdr:row>41</xdr:row>
      <xdr:rowOff>67237</xdr:rowOff>
    </xdr:to>
    <xdr:cxnSp macro="">
      <xdr:nvCxnSpPr>
        <xdr:cNvPr id="30" name="Elbow Connector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CxnSpPr>
          <a:stCxn id="23" idx="1"/>
          <a:endCxn id="25" idx="0"/>
        </xdr:cNvCxnSpPr>
      </xdr:nvCxnSpPr>
      <xdr:spPr>
        <a:xfrm rot="10800000" flipV="1">
          <a:off x="10371045" y="7530913"/>
          <a:ext cx="1141398" cy="51491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608239</xdr:colOff>
      <xdr:row>32</xdr:row>
      <xdr:rowOff>28574</xdr:rowOff>
    </xdr:from>
    <xdr:to>
      <xdr:col>21</xdr:col>
      <xdr:colOff>415017</xdr:colOff>
      <xdr:row>33</xdr:row>
      <xdr:rowOff>104774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 txBox="1"/>
      </xdr:nvSpPr>
      <xdr:spPr>
        <a:xfrm>
          <a:off x="13317310" y="5934074"/>
          <a:ext cx="41910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Yes</a:t>
          </a:r>
          <a:endParaRPr lang="en-US" sz="1100"/>
        </a:p>
      </xdr:txBody>
    </xdr:sp>
    <xdr:clientData/>
  </xdr:twoCellAnchor>
  <xdr:twoCellAnchor>
    <xdr:from>
      <xdr:col>18</xdr:col>
      <xdr:colOff>561975</xdr:colOff>
      <xdr:row>36</xdr:row>
      <xdr:rowOff>66675</xdr:rowOff>
    </xdr:from>
    <xdr:to>
      <xdr:col>19</xdr:col>
      <xdr:colOff>371475</xdr:colOff>
      <xdr:row>37</xdr:row>
      <xdr:rowOff>142875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 txBox="1"/>
      </xdr:nvSpPr>
      <xdr:spPr>
        <a:xfrm>
          <a:off x="3981450" y="16449675"/>
          <a:ext cx="41910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Yes</a:t>
          </a:r>
          <a:endParaRPr lang="en-US" sz="1100"/>
        </a:p>
      </xdr:txBody>
    </xdr:sp>
    <xdr:clientData/>
  </xdr:twoCellAnchor>
  <xdr:twoCellAnchor>
    <xdr:from>
      <xdr:col>18</xdr:col>
      <xdr:colOff>529318</xdr:colOff>
      <xdr:row>25</xdr:row>
      <xdr:rowOff>166007</xdr:rowOff>
    </xdr:from>
    <xdr:to>
      <xdr:col>19</xdr:col>
      <xdr:colOff>284568</xdr:colOff>
      <xdr:row>27</xdr:row>
      <xdr:rowOff>23132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 txBox="1"/>
      </xdr:nvSpPr>
      <xdr:spPr>
        <a:xfrm>
          <a:off x="12013747" y="4738007"/>
          <a:ext cx="367571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No</a:t>
          </a:r>
          <a:endParaRPr lang="en-US" sz="1100"/>
        </a:p>
      </xdr:txBody>
    </xdr:sp>
    <xdr:clientData/>
  </xdr:twoCellAnchor>
  <xdr:twoCellAnchor>
    <xdr:from>
      <xdr:col>21</xdr:col>
      <xdr:colOff>0</xdr:colOff>
      <xdr:row>42</xdr:row>
      <xdr:rowOff>57150</xdr:rowOff>
    </xdr:from>
    <xdr:to>
      <xdr:col>21</xdr:col>
      <xdr:colOff>381000</xdr:colOff>
      <xdr:row>43</xdr:row>
      <xdr:rowOff>104775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 txBox="1"/>
      </xdr:nvSpPr>
      <xdr:spPr>
        <a:xfrm>
          <a:off x="5248275" y="17583150"/>
          <a:ext cx="3810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No</a:t>
          </a:r>
          <a:endParaRPr lang="en-US" sz="1100"/>
        </a:p>
      </xdr:txBody>
    </xdr:sp>
    <xdr:clientData/>
  </xdr:twoCellAnchor>
  <xdr:twoCellAnchor>
    <xdr:from>
      <xdr:col>16</xdr:col>
      <xdr:colOff>404132</xdr:colOff>
      <xdr:row>48</xdr:row>
      <xdr:rowOff>122465</xdr:rowOff>
    </xdr:from>
    <xdr:to>
      <xdr:col>17</xdr:col>
      <xdr:colOff>217714</xdr:colOff>
      <xdr:row>50</xdr:row>
      <xdr:rowOff>54429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 txBox="1"/>
      </xdr:nvSpPr>
      <xdr:spPr>
        <a:xfrm>
          <a:off x="10663918" y="9075965"/>
          <a:ext cx="425903" cy="3129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No</a:t>
          </a:r>
          <a:endParaRPr lang="en-US" sz="1100"/>
        </a:p>
      </xdr:txBody>
    </xdr:sp>
    <xdr:clientData/>
  </xdr:twoCellAnchor>
  <xdr:twoCellAnchor>
    <xdr:from>
      <xdr:col>14</xdr:col>
      <xdr:colOff>136070</xdr:colOff>
      <xdr:row>42</xdr:row>
      <xdr:rowOff>163286</xdr:rowOff>
    </xdr:from>
    <xdr:to>
      <xdr:col>15</xdr:col>
      <xdr:colOff>9839</xdr:colOff>
      <xdr:row>44</xdr:row>
      <xdr:rowOff>56627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 txBox="1"/>
      </xdr:nvSpPr>
      <xdr:spPr>
        <a:xfrm>
          <a:off x="9171213" y="7973786"/>
          <a:ext cx="486090" cy="2743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/>
            <a:t>Yes</a:t>
          </a:r>
          <a:endParaRPr lang="en-US" sz="1100"/>
        </a:p>
      </xdr:txBody>
    </xdr:sp>
    <xdr:clientData/>
  </xdr:twoCellAnchor>
  <xdr:twoCellAnchor>
    <xdr:from>
      <xdr:col>16</xdr:col>
      <xdr:colOff>364990</xdr:colOff>
      <xdr:row>50</xdr:row>
      <xdr:rowOff>157201</xdr:rowOff>
    </xdr:from>
    <xdr:to>
      <xdr:col>18</xdr:col>
      <xdr:colOff>52026</xdr:colOff>
      <xdr:row>55</xdr:row>
      <xdr:rowOff>10160</xdr:rowOff>
    </xdr:to>
    <xdr:sp macro="" textlink="">
      <xdr:nvSpPr>
        <xdr:cNvPr id="37" name="Flowchart: Alternate Process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/>
      </xdr:nvSpPr>
      <xdr:spPr>
        <a:xfrm>
          <a:off x="9986510" y="9484081"/>
          <a:ext cx="906236" cy="767359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Consider</a:t>
          </a:r>
          <a:endParaRPr lang="en-US" sz="1200">
            <a:effectLst/>
          </a:endParaRPr>
        </a:p>
        <a:p>
          <a:pPr algn="ctr"/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Installing an </a:t>
          </a:r>
          <a:r>
            <a:rPr lang="en-US" sz="1200"/>
            <a:t>HRV</a:t>
          </a:r>
        </a:p>
      </xdr:txBody>
    </xdr:sp>
    <xdr:clientData/>
  </xdr:twoCellAnchor>
  <xdr:twoCellAnchor>
    <xdr:from>
      <xdr:col>13</xdr:col>
      <xdr:colOff>530678</xdr:colOff>
      <xdr:row>50</xdr:row>
      <xdr:rowOff>174171</xdr:rowOff>
    </xdr:from>
    <xdr:to>
      <xdr:col>15</xdr:col>
      <xdr:colOff>272142</xdr:colOff>
      <xdr:row>54</xdr:row>
      <xdr:rowOff>176892</xdr:rowOff>
    </xdr:to>
    <xdr:sp macro="" textlink="">
      <xdr:nvSpPr>
        <xdr:cNvPr id="38" name="Flowchart: Alternate Process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/>
      </xdr:nvSpPr>
      <xdr:spPr>
        <a:xfrm>
          <a:off x="8953499" y="9508671"/>
          <a:ext cx="966107" cy="764721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/>
            <a:t>Consider</a:t>
          </a:r>
          <a:endParaRPr lang="en-US" sz="1100"/>
        </a:p>
        <a:p>
          <a:pPr algn="ctr"/>
          <a:r>
            <a:rPr lang="en-US" sz="1200"/>
            <a:t>Installing an ERV</a:t>
          </a:r>
        </a:p>
      </xdr:txBody>
    </xdr:sp>
    <xdr:clientData/>
  </xdr:twoCellAnchor>
  <xdr:twoCellAnchor>
    <xdr:from>
      <xdr:col>14</xdr:col>
      <xdr:colOff>401412</xdr:colOff>
      <xdr:row>44</xdr:row>
      <xdr:rowOff>128869</xdr:rowOff>
    </xdr:from>
    <xdr:to>
      <xdr:col>14</xdr:col>
      <xdr:colOff>549091</xdr:colOff>
      <xdr:row>50</xdr:row>
      <xdr:rowOff>174171</xdr:rowOff>
    </xdr:to>
    <xdr:cxnSp macro="">
      <xdr:nvCxnSpPr>
        <xdr:cNvPr id="39" name="Elbow Connector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CxnSpPr>
          <a:stCxn id="25" idx="1"/>
          <a:endCxn id="38" idx="0"/>
        </xdr:cNvCxnSpPr>
      </xdr:nvCxnSpPr>
      <xdr:spPr>
        <a:xfrm rot="10800000" flipV="1">
          <a:off x="8738588" y="8678957"/>
          <a:ext cx="147679" cy="118830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208508</xdr:colOff>
      <xdr:row>48</xdr:row>
      <xdr:rowOff>1</xdr:rowOff>
    </xdr:from>
    <xdr:to>
      <xdr:col>17</xdr:col>
      <xdr:colOff>216275</xdr:colOff>
      <xdr:row>50</xdr:row>
      <xdr:rowOff>157201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CxnSpPr>
          <a:stCxn id="25" idx="2"/>
          <a:endCxn id="37" idx="0"/>
        </xdr:cNvCxnSpPr>
      </xdr:nvCxnSpPr>
      <xdr:spPr>
        <a:xfrm flipH="1">
          <a:off x="10439628" y="8961121"/>
          <a:ext cx="7767" cy="52296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246528</xdr:colOff>
      <xdr:row>46</xdr:row>
      <xdr:rowOff>27214</xdr:rowOff>
    </xdr:from>
    <xdr:to>
      <xdr:col>24</xdr:col>
      <xdr:colOff>201705</xdr:colOff>
      <xdr:row>55</xdr:row>
      <xdr:rowOff>164468</xdr:rowOff>
    </xdr:to>
    <xdr:sp macro="" textlink="">
      <xdr:nvSpPr>
        <xdr:cNvPr id="41" name="Flowchart: Process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/>
      </xdr:nvSpPr>
      <xdr:spPr>
        <a:xfrm>
          <a:off x="11609293" y="8958302"/>
          <a:ext cx="2980765" cy="1851754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/>
            <a:t>Determine whole house ventilation strategy</a:t>
          </a:r>
        </a:p>
        <a:p>
          <a:pPr algn="ctr"/>
          <a:r>
            <a:rPr lang="en-US" sz="1200"/>
            <a:t>-------------------------------</a:t>
          </a:r>
        </a:p>
        <a:p>
          <a:pPr algn="ctr"/>
          <a:r>
            <a:rPr lang="en-US" sz="1200"/>
            <a:t>Spot ventilation timer</a:t>
          </a:r>
        </a:p>
        <a:p>
          <a:pPr algn="ctr"/>
          <a:r>
            <a:rPr lang="en-US" sz="1200"/>
            <a:t>Whole house exhaust only</a:t>
          </a:r>
        </a:p>
        <a:p>
          <a:pPr algn="ctr"/>
          <a:r>
            <a:rPr lang="en-US" sz="1200"/>
            <a:t>Whole house supply only</a:t>
          </a:r>
        </a:p>
        <a:p>
          <a:pPr algn="ctr"/>
          <a:r>
            <a:rPr lang="en-US" sz="1200"/>
            <a:t>Outside supply to furnace return</a:t>
          </a:r>
        </a:p>
        <a:p>
          <a:pPr algn="ctr"/>
          <a:r>
            <a:rPr lang="en-US" sz="1200"/>
            <a:t>Supply/exhaust combo fans</a:t>
          </a:r>
        </a:p>
        <a:p>
          <a:pPr algn="ctr"/>
          <a:r>
            <a:rPr lang="en-US" sz="1200"/>
            <a:t>HRV/ERV ventilators</a:t>
          </a:r>
        </a:p>
      </xdr:txBody>
    </xdr:sp>
    <xdr:clientData/>
  </xdr:twoCellAnchor>
  <xdr:twoCellAnchor>
    <xdr:from>
      <xdr:col>21</xdr:col>
      <xdr:colOff>526676</xdr:colOff>
      <xdr:row>42</xdr:row>
      <xdr:rowOff>95250</xdr:rowOff>
    </xdr:from>
    <xdr:to>
      <xdr:col>21</xdr:col>
      <xdr:colOff>527077</xdr:colOff>
      <xdr:row>46</xdr:row>
      <xdr:rowOff>27214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CxnSpPr>
          <a:stCxn id="23" idx="2"/>
          <a:endCxn id="41" idx="0"/>
        </xdr:cNvCxnSpPr>
      </xdr:nvCxnSpPr>
      <xdr:spPr>
        <a:xfrm flipH="1">
          <a:off x="13099676" y="8264338"/>
          <a:ext cx="401" cy="69396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16</xdr:row>
      <xdr:rowOff>177613</xdr:rowOff>
    </xdr:from>
    <xdr:to>
      <xdr:col>9</xdr:col>
      <xdr:colOff>590550</xdr:colOff>
      <xdr:row>21</xdr:row>
      <xdr:rowOff>139513</xdr:rowOff>
    </xdr:to>
    <xdr:sp macro="" textlink="">
      <xdr:nvSpPr>
        <xdr:cNvPr id="55" name="Flowchart: Process 5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SpPr/>
      </xdr:nvSpPr>
      <xdr:spPr>
        <a:xfrm>
          <a:off x="3982010" y="3393701"/>
          <a:ext cx="1920128" cy="914400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ctr"/>
          <a:r>
            <a:rPr lang="en-US" sz="1200"/>
            <a:t>Repair, replace or install local ventilation as necessary</a:t>
          </a:r>
        </a:p>
      </xdr:txBody>
    </xdr:sp>
    <xdr:clientData/>
  </xdr:twoCellAnchor>
  <xdr:twoCellAnchor>
    <xdr:from>
      <xdr:col>5</xdr:col>
      <xdr:colOff>517071</xdr:colOff>
      <xdr:row>24</xdr:row>
      <xdr:rowOff>136072</xdr:rowOff>
    </xdr:from>
    <xdr:to>
      <xdr:col>10</xdr:col>
      <xdr:colOff>557893</xdr:colOff>
      <xdr:row>32</xdr:row>
      <xdr:rowOff>136072</xdr:rowOff>
    </xdr:to>
    <xdr:sp macro="" textlink="">
      <xdr:nvSpPr>
        <xdr:cNvPr id="56" name="Flowchart: Decision 55">
          <a:extLst>
            <a:ext uri="{FF2B5EF4-FFF2-40B4-BE49-F238E27FC236}">
              <a16:creationId xmlns:a16="http://schemas.microsoft.com/office/drawing/2014/main" id="{00000000-0008-0000-0900-000038000000}"/>
            </a:ext>
          </a:extLst>
        </xdr:cNvPr>
        <xdr:cNvSpPr/>
      </xdr:nvSpPr>
      <xdr:spPr>
        <a:xfrm>
          <a:off x="4041321" y="4517572"/>
          <a:ext cx="3102429" cy="1524000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/>
            <a:t>Is local ventilation working properly?</a:t>
          </a:r>
        </a:p>
        <a:p>
          <a:pPr algn="l"/>
          <a:r>
            <a:rPr lang="en-US" sz="1200"/>
            <a:t>(Kitchen &amp; bath fans</a:t>
          </a:r>
          <a:r>
            <a:rPr lang="en-US" sz="1100"/>
            <a:t>)</a:t>
          </a:r>
        </a:p>
      </xdr:txBody>
    </xdr:sp>
    <xdr:clientData/>
  </xdr:twoCellAnchor>
  <xdr:twoCellAnchor>
    <xdr:from>
      <xdr:col>6</xdr:col>
      <xdr:colOff>220436</xdr:colOff>
      <xdr:row>35</xdr:row>
      <xdr:rowOff>98977</xdr:rowOff>
    </xdr:from>
    <xdr:to>
      <xdr:col>10</xdr:col>
      <xdr:colOff>231322</xdr:colOff>
      <xdr:row>39</xdr:row>
      <xdr:rowOff>68036</xdr:rowOff>
    </xdr:to>
    <xdr:sp macro="" textlink="">
      <xdr:nvSpPr>
        <xdr:cNvPr id="57" name="Flowchart: Process 56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SpPr/>
      </xdr:nvSpPr>
      <xdr:spPr>
        <a:xfrm>
          <a:off x="4357007" y="6575977"/>
          <a:ext cx="2460172" cy="731059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ctr"/>
          <a:r>
            <a:rPr lang="en-US" sz="1200"/>
            <a:t>Calculate local ventilation deficit</a:t>
          </a:r>
        </a:p>
      </xdr:txBody>
    </xdr:sp>
    <xdr:clientData/>
  </xdr:twoCellAnchor>
  <xdr:twoCellAnchor>
    <xdr:from>
      <xdr:col>8</xdr:col>
      <xdr:colOff>234923</xdr:colOff>
      <xdr:row>21</xdr:row>
      <xdr:rowOff>139513</xdr:rowOff>
    </xdr:from>
    <xdr:to>
      <xdr:col>8</xdr:col>
      <xdr:colOff>235603</xdr:colOff>
      <xdr:row>24</xdr:row>
      <xdr:rowOff>136072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CxnSpPr>
          <a:stCxn id="55" idx="2"/>
          <a:endCxn id="56" idx="0"/>
        </xdr:cNvCxnSpPr>
      </xdr:nvCxnSpPr>
      <xdr:spPr>
        <a:xfrm flipH="1">
          <a:off x="4941394" y="4308101"/>
          <a:ext cx="680" cy="56805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225879</xdr:colOff>
      <xdr:row>32</xdr:row>
      <xdr:rowOff>136072</xdr:rowOff>
    </xdr:from>
    <xdr:to>
      <xdr:col>8</xdr:col>
      <xdr:colOff>231322</xdr:colOff>
      <xdr:row>35</xdr:row>
      <xdr:rowOff>98977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CxnSpPr>
          <a:stCxn id="56" idx="2"/>
          <a:endCxn id="57" idx="0"/>
        </xdr:cNvCxnSpPr>
      </xdr:nvCxnSpPr>
      <xdr:spPr>
        <a:xfrm flipH="1">
          <a:off x="5587093" y="6041572"/>
          <a:ext cx="5443" cy="53440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443347</xdr:colOff>
      <xdr:row>5</xdr:row>
      <xdr:rowOff>95249</xdr:rowOff>
    </xdr:from>
    <xdr:to>
      <xdr:col>21</xdr:col>
      <xdr:colOff>507856</xdr:colOff>
      <xdr:row>46</xdr:row>
      <xdr:rowOff>9525</xdr:rowOff>
    </xdr:to>
    <xdr:cxnSp macro="">
      <xdr:nvCxnSpPr>
        <xdr:cNvPr id="47" name="Elbow Connector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CxnSpPr>
          <a:stCxn id="6" idx="2"/>
          <a:endCxn id="16" idx="0"/>
        </xdr:cNvCxnSpPr>
      </xdr:nvCxnSpPr>
      <xdr:spPr>
        <a:xfrm rot="5400000" flipH="1" flipV="1">
          <a:off x="7229259" y="-698572"/>
          <a:ext cx="7724776" cy="10836418"/>
        </a:xfrm>
        <a:prstGeom prst="bentConnector5">
          <a:avLst>
            <a:gd name="adj1" fmla="val -9012"/>
            <a:gd name="adj2" fmla="val 48779"/>
            <a:gd name="adj3" fmla="val 106098"/>
          </a:avLst>
        </a:prstGeom>
        <a:ln>
          <a:solidFill>
            <a:sysClr val="windowText" lastClr="000000"/>
          </a:solidFill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114300</xdr:colOff>
      <xdr:row>59</xdr:row>
      <xdr:rowOff>133350</xdr:rowOff>
    </xdr:from>
    <xdr:to>
      <xdr:col>18</xdr:col>
      <xdr:colOff>285750</xdr:colOff>
      <xdr:row>63</xdr:row>
      <xdr:rowOff>171450</xdr:rowOff>
    </xdr:to>
    <xdr:pic>
      <xdr:nvPicPr>
        <xdr:cNvPr id="24621" name="Picture 1">
          <a:extLst>
            <a:ext uri="{FF2B5EF4-FFF2-40B4-BE49-F238E27FC236}">
              <a16:creationId xmlns:a16="http://schemas.microsoft.com/office/drawing/2014/main" id="{00000000-0008-0000-0900-00002D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11544300"/>
          <a:ext cx="5657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219075</xdr:colOff>
      <xdr:row>58</xdr:row>
      <xdr:rowOff>104775</xdr:rowOff>
    </xdr:from>
    <xdr:to>
      <xdr:col>8</xdr:col>
      <xdr:colOff>123825</xdr:colOff>
      <xdr:row>63</xdr:row>
      <xdr:rowOff>133350</xdr:rowOff>
    </xdr:to>
    <xdr:pic>
      <xdr:nvPicPr>
        <xdr:cNvPr id="24622" name="Picture 50">
          <a:extLst>
            <a:ext uri="{FF2B5EF4-FFF2-40B4-BE49-F238E27FC236}">
              <a16:creationId xmlns:a16="http://schemas.microsoft.com/office/drawing/2014/main" id="{00000000-0008-0000-0900-00002E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1325225"/>
          <a:ext cx="17335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314325</xdr:colOff>
      <xdr:row>60</xdr:row>
      <xdr:rowOff>19050</xdr:rowOff>
    </xdr:from>
    <xdr:to>
      <xdr:col>22</xdr:col>
      <xdr:colOff>542925</xdr:colOff>
      <xdr:row>64</xdr:row>
      <xdr:rowOff>19050</xdr:rowOff>
    </xdr:to>
    <xdr:pic>
      <xdr:nvPicPr>
        <xdr:cNvPr id="24623" name="Picture 51" descr="http://www.iremnyc.org/irem/FileContents.phx?fileid=7a3ddc82-23d7-4bd4-a1bc-3ef19df7779d">
          <a:extLst>
            <a:ext uri="{FF2B5EF4-FFF2-40B4-BE49-F238E27FC236}">
              <a16:creationId xmlns:a16="http://schemas.microsoft.com/office/drawing/2014/main" id="{00000000-0008-0000-0900-00002F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3850" y="11620500"/>
          <a:ext cx="20574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512013</xdr:colOff>
      <xdr:row>51</xdr:row>
      <xdr:rowOff>160365</xdr:rowOff>
    </xdr:from>
    <xdr:to>
      <xdr:col>9</xdr:col>
      <xdr:colOff>325435</xdr:colOff>
      <xdr:row>53</xdr:row>
      <xdr:rowOff>31985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SpPr txBox="1"/>
      </xdr:nvSpPr>
      <xdr:spPr>
        <a:xfrm>
          <a:off x="6468865" y="9801322"/>
          <a:ext cx="423022" cy="242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9</xdr:col>
      <xdr:colOff>508186</xdr:colOff>
      <xdr:row>1</xdr:row>
      <xdr:rowOff>159026</xdr:rowOff>
    </xdr:from>
    <xdr:to>
      <xdr:col>13</xdr:col>
      <xdr:colOff>123873</xdr:colOff>
      <xdr:row>11</xdr:row>
      <xdr:rowOff>19025</xdr:rowOff>
    </xdr:to>
    <xdr:sp macro="" textlink="">
      <xdr:nvSpPr>
        <xdr:cNvPr id="2" name="Flowchart: Process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074638" y="523461"/>
          <a:ext cx="2054087" cy="1715303"/>
        </a:xfrm>
        <a:prstGeom prst="flowChart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Determine whole house ventilation strategy</a:t>
          </a:r>
        </a:p>
        <a:p>
          <a:pPr algn="ctr"/>
          <a:r>
            <a:rPr lang="en-US" sz="1100"/>
            <a:t>-------------------------------</a:t>
          </a:r>
        </a:p>
        <a:p>
          <a:pPr algn="ctr"/>
          <a:r>
            <a:rPr lang="en-US" sz="1100"/>
            <a:t>Spot ventilation timer</a:t>
          </a:r>
        </a:p>
        <a:p>
          <a:pPr algn="ctr"/>
          <a:r>
            <a:rPr lang="en-US" sz="1100"/>
            <a:t>Whole house exhaust only</a:t>
          </a:r>
        </a:p>
        <a:p>
          <a:pPr algn="ctr"/>
          <a:r>
            <a:rPr lang="en-US" sz="1100"/>
            <a:t>Whole house supply only</a:t>
          </a:r>
        </a:p>
        <a:p>
          <a:pPr algn="ctr"/>
          <a:r>
            <a:rPr lang="en-US" sz="1100"/>
            <a:t>Outside supply to furnace return</a:t>
          </a:r>
        </a:p>
        <a:p>
          <a:pPr algn="ctr"/>
          <a:r>
            <a:rPr lang="en-US" sz="1100"/>
            <a:t>Supply/exhaust combo fans</a:t>
          </a:r>
        </a:p>
        <a:p>
          <a:pPr algn="ctr"/>
          <a:r>
            <a:rPr lang="en-US" sz="1100"/>
            <a:t>HRV/ERV ventilators</a:t>
          </a:r>
        </a:p>
      </xdr:txBody>
    </xdr:sp>
    <xdr:clientData/>
  </xdr:twoCellAnchor>
  <xdr:twoCellAnchor>
    <xdr:from>
      <xdr:col>8</xdr:col>
      <xdr:colOff>459442</xdr:colOff>
      <xdr:row>13</xdr:row>
      <xdr:rowOff>89647</xdr:rowOff>
    </xdr:from>
    <xdr:to>
      <xdr:col>14</xdr:col>
      <xdr:colOff>168088</xdr:colOff>
      <xdr:row>22</xdr:row>
      <xdr:rowOff>11206</xdr:rowOff>
    </xdr:to>
    <xdr:sp macro="" textlink="">
      <xdr:nvSpPr>
        <xdr:cNvPr id="3" name="Flowchart: Decisio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6412567" y="2566147"/>
          <a:ext cx="3366246" cy="1636059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/>
            <a:t>Can a </a:t>
          </a:r>
          <a:r>
            <a:rPr lang="en-US" sz="1100" b="1"/>
            <a:t>timer on a local exhaust fan</a:t>
          </a:r>
          <a:r>
            <a:rPr lang="en-US" sz="110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 installed and </a:t>
          </a:r>
          <a:r>
            <a:rPr lang="en-US" sz="1100"/>
            <a:t>meet  62.2 requirements on flow and noise?</a:t>
          </a:r>
        </a:p>
      </xdr:txBody>
    </xdr:sp>
    <xdr:clientData/>
  </xdr:twoCellAnchor>
  <xdr:twoCellAnchor>
    <xdr:from>
      <xdr:col>11</xdr:col>
      <xdr:colOff>313765</xdr:colOff>
      <xdr:row>11</xdr:row>
      <xdr:rowOff>19025</xdr:rowOff>
    </xdr:from>
    <xdr:to>
      <xdr:col>11</xdr:col>
      <xdr:colOff>316030</xdr:colOff>
      <xdr:row>13</xdr:row>
      <xdr:rowOff>89647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>
          <a:stCxn id="2" idx="2"/>
          <a:endCxn id="3" idx="0"/>
        </xdr:cNvCxnSpPr>
      </xdr:nvCxnSpPr>
      <xdr:spPr>
        <a:xfrm flipH="1">
          <a:off x="8099417" y="2238764"/>
          <a:ext cx="2265" cy="44168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243728</xdr:colOff>
      <xdr:row>20</xdr:row>
      <xdr:rowOff>27455</xdr:rowOff>
    </xdr:from>
    <xdr:to>
      <xdr:col>3</xdr:col>
      <xdr:colOff>554692</xdr:colOff>
      <xdr:row>28</xdr:row>
      <xdr:rowOff>189379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1501028" y="3837455"/>
          <a:ext cx="1958789" cy="16859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1. Timer on local exhaust fan</a:t>
          </a:r>
        </a:p>
        <a:p>
          <a:r>
            <a:rPr lang="en-US" sz="1100"/>
            <a:t>----------------------------------</a:t>
          </a:r>
        </a:p>
        <a:p>
          <a:r>
            <a:rPr lang="en-US" sz="1100" b="1"/>
            <a:t>Pros: </a:t>
          </a:r>
        </a:p>
        <a:p>
          <a:r>
            <a:rPr lang="en-US" sz="1100"/>
            <a:t>Low cost</a:t>
          </a:r>
        </a:p>
        <a:p>
          <a:r>
            <a:rPr lang="en-US" sz="1100"/>
            <a:t>Easy install</a:t>
          </a:r>
        </a:p>
        <a:p>
          <a:r>
            <a:rPr lang="en-US" sz="1100"/>
            <a:t>---------------------------------</a:t>
          </a:r>
        </a:p>
        <a:p>
          <a:r>
            <a:rPr lang="en-US" sz="1100" b="1"/>
            <a:t>Cons:</a:t>
          </a:r>
        </a:p>
        <a:p>
          <a:r>
            <a:rPr lang="en-US" sz="1100"/>
            <a:t>Random supply air</a:t>
          </a:r>
        </a:p>
        <a:p>
          <a:r>
            <a:rPr lang="en-US" sz="1100"/>
            <a:t>Partial whole house ventilation</a:t>
          </a:r>
        </a:p>
        <a:p>
          <a:endParaRPr lang="en-US" sz="1100"/>
        </a:p>
      </xdr:txBody>
    </xdr:sp>
    <xdr:clientData/>
  </xdr:twoCellAnchor>
  <xdr:twoCellAnchor>
    <xdr:from>
      <xdr:col>8</xdr:col>
      <xdr:colOff>19050</xdr:colOff>
      <xdr:row>16</xdr:row>
      <xdr:rowOff>38100</xdr:rowOff>
    </xdr:from>
    <xdr:to>
      <xdr:col>8</xdr:col>
      <xdr:colOff>438150</xdr:colOff>
      <xdr:row>17</xdr:row>
      <xdr:rowOff>76200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5972175" y="3086100"/>
          <a:ext cx="4191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10</xdr:col>
      <xdr:colOff>361950</xdr:colOff>
      <xdr:row>22</xdr:row>
      <xdr:rowOff>28575</xdr:rowOff>
    </xdr:from>
    <xdr:to>
      <xdr:col>11</xdr:col>
      <xdr:colOff>142875</xdr:colOff>
      <xdr:row>23</xdr:row>
      <xdr:rowOff>95250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7534275" y="4219575"/>
          <a:ext cx="39052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3</xdr:col>
      <xdr:colOff>425823</xdr:colOff>
      <xdr:row>30</xdr:row>
      <xdr:rowOff>168089</xdr:rowOff>
    </xdr:from>
    <xdr:to>
      <xdr:col>7</xdr:col>
      <xdr:colOff>549088</xdr:colOff>
      <xdr:row>40</xdr:row>
      <xdr:rowOff>19051</xdr:rowOff>
    </xdr:to>
    <xdr:sp macro="" textlink="">
      <xdr:nvSpPr>
        <xdr:cNvPr id="8" name="Flowchart: Decision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3330948" y="5883089"/>
          <a:ext cx="2561665" cy="1755962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Will house depressurization adversely affect CAZ, IAQ,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 building integrity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  <a:endParaRPr lang="en-US">
            <a:effectLst/>
          </a:endParaRPr>
        </a:p>
      </xdr:txBody>
    </xdr:sp>
    <xdr:clientData/>
  </xdr:twoCellAnchor>
  <xdr:twoCellAnchor>
    <xdr:from>
      <xdr:col>5</xdr:col>
      <xdr:colOff>487457</xdr:colOff>
      <xdr:row>17</xdr:row>
      <xdr:rowOff>145677</xdr:rowOff>
    </xdr:from>
    <xdr:to>
      <xdr:col>8</xdr:col>
      <xdr:colOff>459443</xdr:colOff>
      <xdr:row>30</xdr:row>
      <xdr:rowOff>168089</xdr:rowOff>
    </xdr:to>
    <xdr:cxnSp macro="">
      <xdr:nvCxnSpPr>
        <xdr:cNvPr id="9" name="Elbow Connector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CxnSpPr>
          <a:stCxn id="3" idx="1"/>
          <a:endCxn id="8" idx="0"/>
        </xdr:cNvCxnSpPr>
      </xdr:nvCxnSpPr>
      <xdr:spPr>
        <a:xfrm rot="10800000" flipV="1">
          <a:off x="4611782" y="3384177"/>
          <a:ext cx="1800786" cy="249891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142875</xdr:colOff>
      <xdr:row>33</xdr:row>
      <xdr:rowOff>180975</xdr:rowOff>
    </xdr:from>
    <xdr:to>
      <xdr:col>2</xdr:col>
      <xdr:colOff>1514474</xdr:colOff>
      <xdr:row>37</xdr:row>
      <xdr:rowOff>19050</xdr:rowOff>
    </xdr:to>
    <xdr:sp macro="" textlink="">
      <xdr:nvSpPr>
        <xdr:cNvPr id="10" name="Flowchart: Alternate Process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1400175" y="6467475"/>
          <a:ext cx="1371599" cy="600075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Install and verify operation</a:t>
          </a:r>
        </a:p>
      </xdr:txBody>
    </xdr:sp>
    <xdr:clientData/>
  </xdr:twoCellAnchor>
  <xdr:twoCellAnchor>
    <xdr:from>
      <xdr:col>2</xdr:col>
      <xdr:colOff>1514474</xdr:colOff>
      <xdr:row>35</xdr:row>
      <xdr:rowOff>93570</xdr:rowOff>
    </xdr:from>
    <xdr:to>
      <xdr:col>3</xdr:col>
      <xdr:colOff>425823</xdr:colOff>
      <xdr:row>35</xdr:row>
      <xdr:rowOff>100013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CxnSpPr>
          <a:stCxn id="8" idx="1"/>
          <a:endCxn id="10" idx="3"/>
        </xdr:cNvCxnSpPr>
      </xdr:nvCxnSpPr>
      <xdr:spPr>
        <a:xfrm flipH="1">
          <a:off x="2771774" y="6761070"/>
          <a:ext cx="559174" cy="644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11717</xdr:colOff>
      <xdr:row>40</xdr:row>
      <xdr:rowOff>5384</xdr:rowOff>
    </xdr:from>
    <xdr:to>
      <xdr:col>5</xdr:col>
      <xdr:colOff>435299</xdr:colOff>
      <xdr:row>41</xdr:row>
      <xdr:rowOff>62534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4139769" y="7605506"/>
          <a:ext cx="423582" cy="242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3</xdr:col>
      <xdr:colOff>19050</xdr:colOff>
      <xdr:row>33</xdr:row>
      <xdr:rowOff>161925</xdr:rowOff>
    </xdr:from>
    <xdr:to>
      <xdr:col>3</xdr:col>
      <xdr:colOff>390525</xdr:colOff>
      <xdr:row>35</xdr:row>
      <xdr:rowOff>9525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/>
      </xdr:nvSpPr>
      <xdr:spPr>
        <a:xfrm>
          <a:off x="2924175" y="6448425"/>
          <a:ext cx="37147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10</xdr:col>
      <xdr:colOff>171450</xdr:colOff>
      <xdr:row>24</xdr:row>
      <xdr:rowOff>152400</xdr:rowOff>
    </xdr:from>
    <xdr:to>
      <xdr:col>12</xdr:col>
      <xdr:colOff>447675</xdr:colOff>
      <xdr:row>28</xdr:row>
      <xdr:rowOff>95250</xdr:rowOff>
    </xdr:to>
    <xdr:sp macro="" textlink="">
      <xdr:nvSpPr>
        <xdr:cNvPr id="14" name="Flowchart: Alternate Process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7343775" y="4724400"/>
          <a:ext cx="1495425" cy="704850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Install, replace or repair fan/ductwork as needed</a:t>
          </a:r>
        </a:p>
      </xdr:txBody>
    </xdr:sp>
    <xdr:clientData/>
  </xdr:twoCellAnchor>
  <xdr:twoCellAnchor>
    <xdr:from>
      <xdr:col>11</xdr:col>
      <xdr:colOff>309562</xdr:colOff>
      <xdr:row>22</xdr:row>
      <xdr:rowOff>11206</xdr:rowOff>
    </xdr:from>
    <xdr:to>
      <xdr:col>11</xdr:col>
      <xdr:colOff>313765</xdr:colOff>
      <xdr:row>24</xdr:row>
      <xdr:rowOff>152400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CxnSpPr>
          <a:stCxn id="3" idx="2"/>
          <a:endCxn id="14" idx="0"/>
        </xdr:cNvCxnSpPr>
      </xdr:nvCxnSpPr>
      <xdr:spPr>
        <a:xfrm flipH="1">
          <a:off x="8091487" y="4202206"/>
          <a:ext cx="4203" cy="52219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30</xdr:row>
      <xdr:rowOff>152401</xdr:rowOff>
    </xdr:from>
    <xdr:to>
      <xdr:col>14</xdr:col>
      <xdr:colOff>47625</xdr:colOff>
      <xdr:row>40</xdr:row>
      <xdr:rowOff>13252</xdr:rowOff>
    </xdr:to>
    <xdr:sp macro="" textlink="">
      <xdr:nvSpPr>
        <xdr:cNvPr id="16" name="Flowchart: Decision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6528352" y="5897218"/>
          <a:ext cx="3133725" cy="1716156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/>
            <a:t>Can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timer on a local exhaust fan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now be installed and </a:t>
          </a:r>
          <a:r>
            <a:rPr lang="en-US" sz="1100"/>
            <a:t>meet  62.2 requirements on flow and noise?</a:t>
          </a:r>
        </a:p>
      </xdr:txBody>
    </xdr:sp>
    <xdr:clientData/>
  </xdr:twoCellAnchor>
  <xdr:twoCellAnchor>
    <xdr:from>
      <xdr:col>11</xdr:col>
      <xdr:colOff>309563</xdr:colOff>
      <xdr:row>28</xdr:row>
      <xdr:rowOff>95250</xdr:rowOff>
    </xdr:from>
    <xdr:to>
      <xdr:col>11</xdr:col>
      <xdr:colOff>309563</xdr:colOff>
      <xdr:row>30</xdr:row>
      <xdr:rowOff>152401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CxnSpPr>
          <a:stCxn id="14" idx="2"/>
          <a:endCxn id="16" idx="0"/>
        </xdr:cNvCxnSpPr>
      </xdr:nvCxnSpPr>
      <xdr:spPr>
        <a:xfrm>
          <a:off x="8095215" y="5469007"/>
          <a:ext cx="0" cy="42821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33</xdr:row>
      <xdr:rowOff>171450</xdr:rowOff>
    </xdr:from>
    <xdr:to>
      <xdr:col>8</xdr:col>
      <xdr:colOff>552450</xdr:colOff>
      <xdr:row>35</xdr:row>
      <xdr:rowOff>19050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6086475" y="6457950"/>
          <a:ext cx="4191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11</xdr:col>
      <xdr:colOff>523875</xdr:colOff>
      <xdr:row>40</xdr:row>
      <xdr:rowOff>66675</xdr:rowOff>
    </xdr:from>
    <xdr:to>
      <xdr:col>13</xdr:col>
      <xdr:colOff>320490</xdr:colOff>
      <xdr:row>43</xdr:row>
      <xdr:rowOff>171450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/>
      </xdr:nvSpPr>
      <xdr:spPr>
        <a:xfrm>
          <a:off x="8267700" y="7858125"/>
          <a:ext cx="101581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No, still does not meet requirements</a:t>
          </a:r>
        </a:p>
      </xdr:txBody>
    </xdr:sp>
    <xdr:clientData/>
  </xdr:twoCellAnchor>
  <xdr:twoCellAnchor>
    <xdr:from>
      <xdr:col>7</xdr:col>
      <xdr:colOff>549088</xdr:colOff>
      <xdr:row>35</xdr:row>
      <xdr:rowOff>82826</xdr:rowOff>
    </xdr:from>
    <xdr:to>
      <xdr:col>8</xdr:col>
      <xdr:colOff>571500</xdr:colOff>
      <xdr:row>35</xdr:row>
      <xdr:rowOff>93570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CxnSpPr>
          <a:stCxn id="16" idx="1"/>
          <a:endCxn id="8" idx="3"/>
        </xdr:cNvCxnSpPr>
      </xdr:nvCxnSpPr>
      <xdr:spPr>
        <a:xfrm flipH="1">
          <a:off x="5896340" y="6755296"/>
          <a:ext cx="632012" cy="1074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125508</xdr:colOff>
      <xdr:row>47</xdr:row>
      <xdr:rowOff>79563</xdr:rowOff>
    </xdr:from>
    <xdr:to>
      <xdr:col>13</xdr:col>
      <xdr:colOff>504265</xdr:colOff>
      <xdr:row>56</xdr:row>
      <xdr:rowOff>1</xdr:rowOff>
    </xdr:to>
    <xdr:sp macro="" textlink="">
      <xdr:nvSpPr>
        <xdr:cNvPr id="21" name="Flowchart: Decision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6688233" y="9033063"/>
          <a:ext cx="2817157" cy="1634938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/>
            <a:t>Can a </a:t>
          </a:r>
          <a:r>
            <a:rPr lang="en-US" sz="1100" b="1"/>
            <a:t>whole house exhaust fan</a:t>
          </a:r>
          <a:r>
            <a:rPr lang="en-US" sz="1100"/>
            <a:t> with timer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 installed and </a:t>
          </a:r>
          <a:r>
            <a:rPr lang="en-US" sz="1100"/>
            <a:t>meet  62.2 requirements ?</a:t>
          </a:r>
        </a:p>
      </xdr:txBody>
    </xdr:sp>
    <xdr:clientData/>
  </xdr:twoCellAnchor>
  <xdr:twoCellAnchor>
    <xdr:from>
      <xdr:col>9</xdr:col>
      <xdr:colOff>1</xdr:colOff>
      <xdr:row>64</xdr:row>
      <xdr:rowOff>179293</xdr:rowOff>
    </xdr:from>
    <xdr:to>
      <xdr:col>13</xdr:col>
      <xdr:colOff>593912</xdr:colOff>
      <xdr:row>72</xdr:row>
      <xdr:rowOff>168086</xdr:rowOff>
    </xdr:to>
    <xdr:sp macro="" textlink="">
      <xdr:nvSpPr>
        <xdr:cNvPr id="22" name="Flowchart: Decision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6562726" y="12371293"/>
          <a:ext cx="3032311" cy="1512793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/>
            <a:t>Can a </a:t>
          </a:r>
          <a:r>
            <a:rPr lang="en-US" sz="1100" b="1"/>
            <a:t>whole house supply fan</a:t>
          </a:r>
          <a:r>
            <a:rPr lang="en-US" sz="1100"/>
            <a:t> with timer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 installed and </a:t>
          </a:r>
          <a:r>
            <a:rPr lang="en-US" sz="1100"/>
            <a:t>meet  62.2 requirements ?</a:t>
          </a:r>
        </a:p>
      </xdr:txBody>
    </xdr:sp>
    <xdr:clientData/>
  </xdr:twoCellAnchor>
  <xdr:twoCellAnchor>
    <xdr:from>
      <xdr:col>3</xdr:col>
      <xdr:colOff>237566</xdr:colOff>
      <xdr:row>46</xdr:row>
      <xdr:rowOff>152401</xdr:rowOff>
    </xdr:from>
    <xdr:to>
      <xdr:col>7</xdr:col>
      <xdr:colOff>361390</xdr:colOff>
      <xdr:row>56</xdr:row>
      <xdr:rowOff>106018</xdr:rowOff>
    </xdr:to>
    <xdr:sp macro="" textlink="">
      <xdr:nvSpPr>
        <xdr:cNvPr id="23" name="Flowchart: Decision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>
          <a:off x="3146418" y="8865705"/>
          <a:ext cx="2562224" cy="1808922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/>
            <a:t>Will house depressurization adversely affect CAZ , IAQ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 building integrity</a:t>
          </a:r>
          <a:r>
            <a:rPr lang="en-US" sz="1100"/>
            <a:t>?</a:t>
          </a:r>
        </a:p>
      </xdr:txBody>
    </xdr:sp>
    <xdr:clientData/>
  </xdr:twoCellAnchor>
  <xdr:twoCellAnchor>
    <xdr:from>
      <xdr:col>2</xdr:col>
      <xdr:colOff>161926</xdr:colOff>
      <xdr:row>50</xdr:row>
      <xdr:rowOff>18490</xdr:rowOff>
    </xdr:from>
    <xdr:to>
      <xdr:col>2</xdr:col>
      <xdr:colOff>1371600</xdr:colOff>
      <xdr:row>53</xdr:row>
      <xdr:rowOff>47065</xdr:rowOff>
    </xdr:to>
    <xdr:sp macro="" textlink="">
      <xdr:nvSpPr>
        <xdr:cNvPr id="24" name="Flowchart: Alternate Process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/>
      </xdr:nvSpPr>
      <xdr:spPr>
        <a:xfrm>
          <a:off x="1419226" y="9543490"/>
          <a:ext cx="1209674" cy="600075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Install and verify operation</a:t>
          </a:r>
        </a:p>
      </xdr:txBody>
    </xdr:sp>
    <xdr:clientData/>
  </xdr:twoCellAnchor>
  <xdr:twoCellAnchor>
    <xdr:from>
      <xdr:col>4</xdr:col>
      <xdr:colOff>343462</xdr:colOff>
      <xdr:row>56</xdr:row>
      <xdr:rowOff>54348</xdr:rowOff>
    </xdr:from>
    <xdr:to>
      <xdr:col>5</xdr:col>
      <xdr:colOff>156884</xdr:colOff>
      <xdr:row>57</xdr:row>
      <xdr:rowOff>111498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/>
      </xdr:nvSpPr>
      <xdr:spPr>
        <a:xfrm>
          <a:off x="3858187" y="10722348"/>
          <a:ext cx="423022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2</xdr:col>
      <xdr:colOff>1548654</xdr:colOff>
      <xdr:row>50</xdr:row>
      <xdr:rowOff>5043</xdr:rowOff>
    </xdr:from>
    <xdr:to>
      <xdr:col>3</xdr:col>
      <xdr:colOff>268382</xdr:colOff>
      <xdr:row>51</xdr:row>
      <xdr:rowOff>43143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/>
      </xdr:nvSpPr>
      <xdr:spPr>
        <a:xfrm>
          <a:off x="2805954" y="9530043"/>
          <a:ext cx="367553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5</xdr:col>
      <xdr:colOff>236419</xdr:colOff>
      <xdr:row>44</xdr:row>
      <xdr:rowOff>12108</xdr:rowOff>
    </xdr:from>
    <xdr:to>
      <xdr:col>6</xdr:col>
      <xdr:colOff>45920</xdr:colOff>
      <xdr:row>45</xdr:row>
      <xdr:rowOff>50207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SpPr txBox="1"/>
      </xdr:nvSpPr>
      <xdr:spPr>
        <a:xfrm>
          <a:off x="4364471" y="8354351"/>
          <a:ext cx="419101" cy="2236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7</xdr:col>
      <xdr:colOff>361390</xdr:colOff>
      <xdr:row>51</xdr:row>
      <xdr:rowOff>129209</xdr:rowOff>
    </xdr:from>
    <xdr:to>
      <xdr:col>9</xdr:col>
      <xdr:colOff>125508</xdr:colOff>
      <xdr:row>51</xdr:row>
      <xdr:rowOff>132547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CxnSpPr>
          <a:stCxn id="21" idx="1"/>
          <a:endCxn id="23" idx="3"/>
        </xdr:cNvCxnSpPr>
      </xdr:nvCxnSpPr>
      <xdr:spPr>
        <a:xfrm flipH="1" flipV="1">
          <a:off x="5708642" y="9770166"/>
          <a:ext cx="983318" cy="333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51</xdr:row>
      <xdr:rowOff>125542</xdr:rowOff>
    </xdr:from>
    <xdr:to>
      <xdr:col>3</xdr:col>
      <xdr:colOff>237566</xdr:colOff>
      <xdr:row>51</xdr:row>
      <xdr:rowOff>129209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CxnSpPr>
          <a:stCxn id="23" idx="1"/>
          <a:endCxn id="24" idx="3"/>
        </xdr:cNvCxnSpPr>
      </xdr:nvCxnSpPr>
      <xdr:spPr>
        <a:xfrm flipH="1" flipV="1">
          <a:off x="2590800" y="9766499"/>
          <a:ext cx="555618" cy="366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296956</xdr:colOff>
      <xdr:row>56</xdr:row>
      <xdr:rowOff>1</xdr:rowOff>
    </xdr:from>
    <xdr:to>
      <xdr:col>11</xdr:col>
      <xdr:colOff>314886</xdr:colOff>
      <xdr:row>64</xdr:row>
      <xdr:rowOff>179293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CxnSpPr>
          <a:stCxn id="21" idx="2"/>
          <a:endCxn id="22" idx="0"/>
        </xdr:cNvCxnSpPr>
      </xdr:nvCxnSpPr>
      <xdr:spPr>
        <a:xfrm flipH="1">
          <a:off x="8078881" y="10668001"/>
          <a:ext cx="17930" cy="170329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416202</xdr:colOff>
      <xdr:row>55</xdr:row>
      <xdr:rowOff>174838</xdr:rowOff>
    </xdr:from>
    <xdr:to>
      <xdr:col>11</xdr:col>
      <xdr:colOff>197127</xdr:colOff>
      <xdr:row>57</xdr:row>
      <xdr:rowOff>75032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/>
      </xdr:nvSpPr>
      <xdr:spPr>
        <a:xfrm>
          <a:off x="7592254" y="10557916"/>
          <a:ext cx="390525" cy="2712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8</xdr:col>
      <xdr:colOff>85165</xdr:colOff>
      <xdr:row>67</xdr:row>
      <xdr:rowOff>35858</xdr:rowOff>
    </xdr:from>
    <xdr:to>
      <xdr:col>8</xdr:col>
      <xdr:colOff>499783</xdr:colOff>
      <xdr:row>68</xdr:row>
      <xdr:rowOff>73958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/>
      </xdr:nvSpPr>
      <xdr:spPr>
        <a:xfrm>
          <a:off x="6038290" y="12799358"/>
          <a:ext cx="414618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4</xdr:col>
      <xdr:colOff>577104</xdr:colOff>
      <xdr:row>74</xdr:row>
      <xdr:rowOff>1680</xdr:rowOff>
    </xdr:from>
    <xdr:to>
      <xdr:col>5</xdr:col>
      <xdr:colOff>390526</xdr:colOff>
      <xdr:row>75</xdr:row>
      <xdr:rowOff>39780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/>
      </xdr:nvSpPr>
      <xdr:spPr>
        <a:xfrm>
          <a:off x="4091829" y="14098680"/>
          <a:ext cx="423022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2</xdr:col>
      <xdr:colOff>214034</xdr:colOff>
      <xdr:row>67</xdr:row>
      <xdr:rowOff>58271</xdr:rowOff>
    </xdr:from>
    <xdr:to>
      <xdr:col>2</xdr:col>
      <xdr:colOff>1423708</xdr:colOff>
      <xdr:row>70</xdr:row>
      <xdr:rowOff>86846</xdr:rowOff>
    </xdr:to>
    <xdr:sp macro="" textlink="">
      <xdr:nvSpPr>
        <xdr:cNvPr id="35" name="Flowchart: Alternate Process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/>
      </xdr:nvSpPr>
      <xdr:spPr>
        <a:xfrm>
          <a:off x="1471334" y="12821771"/>
          <a:ext cx="1209674" cy="600075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Install and verify operation</a:t>
          </a:r>
        </a:p>
      </xdr:txBody>
    </xdr:sp>
    <xdr:clientData/>
  </xdr:twoCellAnchor>
  <xdr:twoCellAnchor>
    <xdr:from>
      <xdr:col>11</xdr:col>
      <xdr:colOff>309563</xdr:colOff>
      <xdr:row>40</xdr:row>
      <xdr:rowOff>13252</xdr:rowOff>
    </xdr:from>
    <xdr:to>
      <xdr:col>11</xdr:col>
      <xdr:colOff>314887</xdr:colOff>
      <xdr:row>47</xdr:row>
      <xdr:rowOff>79563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CxnSpPr>
          <a:stCxn id="16" idx="2"/>
          <a:endCxn id="21" idx="0"/>
        </xdr:cNvCxnSpPr>
      </xdr:nvCxnSpPr>
      <xdr:spPr>
        <a:xfrm>
          <a:off x="8095215" y="7613374"/>
          <a:ext cx="5324" cy="136502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93850</xdr:colOff>
      <xdr:row>49</xdr:row>
      <xdr:rowOff>99389</xdr:rowOff>
    </xdr:from>
    <xdr:to>
      <xdr:col>11</xdr:col>
      <xdr:colOff>296957</xdr:colOff>
      <xdr:row>64</xdr:row>
      <xdr:rowOff>179292</xdr:rowOff>
    </xdr:to>
    <xdr:cxnSp macro="">
      <xdr:nvCxnSpPr>
        <xdr:cNvPr id="37" name="Elbow Connector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CxnSpPr>
          <a:stCxn id="89" idx="2"/>
          <a:endCxn id="22" idx="0"/>
        </xdr:cNvCxnSpPr>
      </xdr:nvCxnSpPr>
      <xdr:spPr>
        <a:xfrm rot="16200000" flipH="1">
          <a:off x="5635226" y="9784761"/>
          <a:ext cx="2862859" cy="2031907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392207</xdr:colOff>
      <xdr:row>64</xdr:row>
      <xdr:rowOff>134471</xdr:rowOff>
    </xdr:from>
    <xdr:to>
      <xdr:col>7</xdr:col>
      <xdr:colOff>560295</xdr:colOff>
      <xdr:row>73</xdr:row>
      <xdr:rowOff>11205</xdr:rowOff>
    </xdr:to>
    <xdr:sp macro="" textlink="">
      <xdr:nvSpPr>
        <xdr:cNvPr id="38" name="Flowchart: Decision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/>
      </xdr:nvSpPr>
      <xdr:spPr>
        <a:xfrm>
          <a:off x="3297332" y="12326471"/>
          <a:ext cx="2606488" cy="1591234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/>
            <a:t>Will </a:t>
          </a:r>
          <a:r>
            <a:rPr lang="en-US" sz="1100" b="1"/>
            <a:t>supply air system </a:t>
          </a:r>
          <a:r>
            <a:rPr lang="en-US" sz="1100"/>
            <a:t>adversely affect  comfort,</a:t>
          </a:r>
          <a:r>
            <a:rPr lang="en-US" sz="1100" baseline="0"/>
            <a:t> IAQ, or building integrity</a:t>
          </a:r>
          <a:r>
            <a:rPr lang="en-US" sz="1100"/>
            <a:t>? </a:t>
          </a:r>
        </a:p>
      </xdr:txBody>
    </xdr:sp>
    <xdr:clientData/>
  </xdr:twoCellAnchor>
  <xdr:twoCellAnchor>
    <xdr:from>
      <xdr:col>2</xdr:col>
      <xdr:colOff>1423708</xdr:colOff>
      <xdr:row>68</xdr:row>
      <xdr:rowOff>167809</xdr:rowOff>
    </xdr:from>
    <xdr:to>
      <xdr:col>3</xdr:col>
      <xdr:colOff>392207</xdr:colOff>
      <xdr:row>68</xdr:row>
      <xdr:rowOff>168088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CxnSpPr>
          <a:stCxn id="38" idx="1"/>
          <a:endCxn id="35" idx="3"/>
        </xdr:cNvCxnSpPr>
      </xdr:nvCxnSpPr>
      <xdr:spPr>
        <a:xfrm flipH="1" flipV="1">
          <a:off x="2681008" y="13121809"/>
          <a:ext cx="616324" cy="27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560295</xdr:colOff>
      <xdr:row>68</xdr:row>
      <xdr:rowOff>168088</xdr:rowOff>
    </xdr:from>
    <xdr:to>
      <xdr:col>9</xdr:col>
      <xdr:colOff>1</xdr:colOff>
      <xdr:row>68</xdr:row>
      <xdr:rowOff>173690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CxnSpPr>
          <a:stCxn id="22" idx="1"/>
          <a:endCxn id="38" idx="3"/>
        </xdr:cNvCxnSpPr>
      </xdr:nvCxnSpPr>
      <xdr:spPr>
        <a:xfrm flipH="1" flipV="1">
          <a:off x="5903820" y="13122088"/>
          <a:ext cx="658906" cy="560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1643344</xdr:colOff>
      <xdr:row>67</xdr:row>
      <xdr:rowOff>16249</xdr:rowOff>
    </xdr:from>
    <xdr:to>
      <xdr:col>3</xdr:col>
      <xdr:colOff>363072</xdr:colOff>
      <xdr:row>68</xdr:row>
      <xdr:rowOff>54349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/>
      </xdr:nvSpPr>
      <xdr:spPr>
        <a:xfrm>
          <a:off x="2900644" y="12779749"/>
          <a:ext cx="367553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5</xdr:col>
      <xdr:colOff>299477</xdr:colOff>
      <xdr:row>56</xdr:row>
      <xdr:rowOff>106018</xdr:rowOff>
    </xdr:from>
    <xdr:to>
      <xdr:col>11</xdr:col>
      <xdr:colOff>296956</xdr:colOff>
      <xdr:row>64</xdr:row>
      <xdr:rowOff>179293</xdr:rowOff>
    </xdr:to>
    <xdr:cxnSp macro="">
      <xdr:nvCxnSpPr>
        <xdr:cNvPr id="44" name="Elbow Connector 43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CxnSpPr>
          <a:stCxn id="23" idx="2"/>
          <a:endCxn id="22" idx="0"/>
        </xdr:cNvCxnSpPr>
      </xdr:nvCxnSpPr>
      <xdr:spPr>
        <a:xfrm rot="16200000" flipH="1">
          <a:off x="5476310" y="9625846"/>
          <a:ext cx="1557518" cy="3655079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449917</xdr:colOff>
      <xdr:row>74</xdr:row>
      <xdr:rowOff>12887</xdr:rowOff>
    </xdr:from>
    <xdr:to>
      <xdr:col>11</xdr:col>
      <xdr:colOff>230842</xdr:colOff>
      <xdr:row>75</xdr:row>
      <xdr:rowOff>98612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/>
      </xdr:nvSpPr>
      <xdr:spPr>
        <a:xfrm>
          <a:off x="7622242" y="14109887"/>
          <a:ext cx="390525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8</xdr:col>
      <xdr:colOff>490819</xdr:colOff>
      <xdr:row>79</xdr:row>
      <xdr:rowOff>21851</xdr:rowOff>
    </xdr:from>
    <xdr:to>
      <xdr:col>14</xdr:col>
      <xdr:colOff>119344</xdr:colOff>
      <xdr:row>88</xdr:row>
      <xdr:rowOff>107576</xdr:rowOff>
    </xdr:to>
    <xdr:sp macro="" textlink="">
      <xdr:nvSpPr>
        <xdr:cNvPr id="46" name="Flowchart: Decision 4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/>
      </xdr:nvSpPr>
      <xdr:spPr>
        <a:xfrm>
          <a:off x="6443944" y="15071351"/>
          <a:ext cx="3286125" cy="1800225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endParaRPr lang="en-US" sz="1100"/>
        </a:p>
        <a:p>
          <a:pPr algn="ctr"/>
          <a:r>
            <a:rPr lang="en-US" sz="1100"/>
            <a:t>Can a</a:t>
          </a:r>
          <a:r>
            <a:rPr lang="en-US" sz="1100" baseline="0"/>
            <a:t>  </a:t>
          </a:r>
          <a:r>
            <a:rPr lang="en-US" sz="1100" b="1" baseline="0"/>
            <a:t>furnace</a:t>
          </a:r>
          <a:r>
            <a:rPr lang="en-US" sz="1100" baseline="0"/>
            <a:t> with</a:t>
          </a:r>
          <a:r>
            <a:rPr lang="en-US" sz="1100"/>
            <a:t> </a:t>
          </a:r>
          <a:r>
            <a:rPr lang="en-US" sz="1100" b="1"/>
            <a:t>outside supply duct</a:t>
          </a:r>
          <a:r>
            <a:rPr lang="en-US" sz="1100"/>
            <a:t> and damper timer be installed and meet  62.2 requirements ?</a:t>
          </a:r>
        </a:p>
      </xdr:txBody>
    </xdr:sp>
    <xdr:clientData/>
  </xdr:twoCellAnchor>
  <xdr:twoCellAnchor>
    <xdr:from>
      <xdr:col>11</xdr:col>
      <xdr:colOff>296956</xdr:colOff>
      <xdr:row>72</xdr:row>
      <xdr:rowOff>168086</xdr:rowOff>
    </xdr:from>
    <xdr:to>
      <xdr:col>11</xdr:col>
      <xdr:colOff>305082</xdr:colOff>
      <xdr:row>79</xdr:row>
      <xdr:rowOff>21851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CxnSpPr>
          <a:stCxn id="22" idx="2"/>
          <a:endCxn id="46" idx="0"/>
        </xdr:cNvCxnSpPr>
      </xdr:nvCxnSpPr>
      <xdr:spPr>
        <a:xfrm>
          <a:off x="8078881" y="13884086"/>
          <a:ext cx="8126" cy="11872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13447</xdr:colOff>
      <xdr:row>82</xdr:row>
      <xdr:rowOff>8964</xdr:rowOff>
    </xdr:from>
    <xdr:to>
      <xdr:col>8</xdr:col>
      <xdr:colOff>428065</xdr:colOff>
      <xdr:row>83</xdr:row>
      <xdr:rowOff>47064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5966572" y="15629964"/>
          <a:ext cx="414618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3</xdr:col>
      <xdr:colOff>493058</xdr:colOff>
      <xdr:row>85</xdr:row>
      <xdr:rowOff>134471</xdr:rowOff>
    </xdr:from>
    <xdr:to>
      <xdr:col>8</xdr:col>
      <xdr:colOff>499783</xdr:colOff>
      <xdr:row>96</xdr:row>
      <xdr:rowOff>67236</xdr:rowOff>
    </xdr:to>
    <xdr:sp macro="" textlink="">
      <xdr:nvSpPr>
        <xdr:cNvPr id="49" name="Flowchart: Decision 48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/>
      </xdr:nvSpPr>
      <xdr:spPr>
        <a:xfrm>
          <a:off x="3398183" y="16326971"/>
          <a:ext cx="3054725" cy="2028265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>
            <a:lnSpc>
              <a:spcPts val="1200"/>
            </a:lnSpc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Will 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furnace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outside supply duct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/>
            <a:t>adversely affect  comfort,</a:t>
          </a:r>
          <a:r>
            <a:rPr lang="en-US" sz="1100" baseline="0"/>
            <a:t> IAQ, or building integrity</a:t>
          </a:r>
          <a:r>
            <a:rPr lang="en-US" sz="1100"/>
            <a:t>? </a:t>
          </a:r>
        </a:p>
      </xdr:txBody>
    </xdr:sp>
    <xdr:clientData/>
  </xdr:twoCellAnchor>
  <xdr:twoCellAnchor>
    <xdr:from>
      <xdr:col>3</xdr:col>
      <xdr:colOff>47626</xdr:colOff>
      <xdr:row>89</xdr:row>
      <xdr:rowOff>79002</xdr:rowOff>
    </xdr:from>
    <xdr:to>
      <xdr:col>3</xdr:col>
      <xdr:colOff>414619</xdr:colOff>
      <xdr:row>90</xdr:row>
      <xdr:rowOff>117102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2952751" y="17033502"/>
          <a:ext cx="366993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5</xdr:col>
      <xdr:colOff>476250</xdr:colOff>
      <xdr:row>73</xdr:row>
      <xdr:rowOff>11205</xdr:rowOff>
    </xdr:from>
    <xdr:to>
      <xdr:col>11</xdr:col>
      <xdr:colOff>305081</xdr:colOff>
      <xdr:row>79</xdr:row>
      <xdr:rowOff>21851</xdr:rowOff>
    </xdr:to>
    <xdr:cxnSp macro="">
      <xdr:nvCxnSpPr>
        <xdr:cNvPr id="51" name="Elbow Connector 50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CxnSpPr>
          <a:stCxn id="38" idx="2"/>
          <a:endCxn id="46" idx="0"/>
        </xdr:cNvCxnSpPr>
      </xdr:nvCxnSpPr>
      <xdr:spPr>
        <a:xfrm rot="16200000" flipH="1">
          <a:off x="5766968" y="12751312"/>
          <a:ext cx="1153646" cy="3486431"/>
        </a:xfrm>
        <a:prstGeom prst="bentConnector3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193863</xdr:colOff>
      <xdr:row>83</xdr:row>
      <xdr:rowOff>159963</xdr:rowOff>
    </xdr:from>
    <xdr:to>
      <xdr:col>8</xdr:col>
      <xdr:colOff>490819</xdr:colOff>
      <xdr:row>85</xdr:row>
      <xdr:rowOff>134470</xdr:rowOff>
    </xdr:to>
    <xdr:cxnSp macro="">
      <xdr:nvCxnSpPr>
        <xdr:cNvPr id="52" name="Elbow Connector 5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CxnSpPr>
          <a:stCxn id="46" idx="1"/>
          <a:endCxn id="49" idx="0"/>
        </xdr:cNvCxnSpPr>
      </xdr:nvCxnSpPr>
      <xdr:spPr>
        <a:xfrm rot="10800000" flipV="1">
          <a:off x="4927788" y="15971463"/>
          <a:ext cx="1516156" cy="355507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344023</xdr:colOff>
      <xdr:row>89</xdr:row>
      <xdr:rowOff>87406</xdr:rowOff>
    </xdr:from>
    <xdr:to>
      <xdr:col>2</xdr:col>
      <xdr:colOff>1553697</xdr:colOff>
      <xdr:row>92</xdr:row>
      <xdr:rowOff>115981</xdr:rowOff>
    </xdr:to>
    <xdr:sp macro="" textlink="">
      <xdr:nvSpPr>
        <xdr:cNvPr id="53" name="Flowchart: Alternate Process 5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/>
      </xdr:nvSpPr>
      <xdr:spPr>
        <a:xfrm>
          <a:off x="1601323" y="17041906"/>
          <a:ext cx="1209674" cy="600075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Install and verify operation</a:t>
          </a:r>
        </a:p>
      </xdr:txBody>
    </xdr:sp>
    <xdr:clientData/>
  </xdr:twoCellAnchor>
  <xdr:twoCellAnchor>
    <xdr:from>
      <xdr:col>2</xdr:col>
      <xdr:colOff>1553697</xdr:colOff>
      <xdr:row>91</xdr:row>
      <xdr:rowOff>5604</xdr:rowOff>
    </xdr:from>
    <xdr:to>
      <xdr:col>3</xdr:col>
      <xdr:colOff>493058</xdr:colOff>
      <xdr:row>91</xdr:row>
      <xdr:rowOff>6444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CxnSpPr>
          <a:stCxn id="49" idx="1"/>
          <a:endCxn id="53" idx="3"/>
        </xdr:cNvCxnSpPr>
      </xdr:nvCxnSpPr>
      <xdr:spPr>
        <a:xfrm flipH="1">
          <a:off x="2810997" y="17341104"/>
          <a:ext cx="587186" cy="84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194984</xdr:colOff>
      <xdr:row>94</xdr:row>
      <xdr:rowOff>151840</xdr:rowOff>
    </xdr:from>
    <xdr:to>
      <xdr:col>13</xdr:col>
      <xdr:colOff>414618</xdr:colOff>
      <xdr:row>102</xdr:row>
      <xdr:rowOff>168088</xdr:rowOff>
    </xdr:to>
    <xdr:sp macro="" textlink="">
      <xdr:nvSpPr>
        <xdr:cNvPr id="55" name="Flowchart: Decision 5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/>
      </xdr:nvSpPr>
      <xdr:spPr>
        <a:xfrm>
          <a:off x="6757709" y="18058840"/>
          <a:ext cx="2658034" cy="1540248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endParaRPr lang="en-US" sz="1100"/>
        </a:p>
        <a:p>
          <a:pPr algn="ctr"/>
          <a:r>
            <a:rPr lang="en-US" sz="1100"/>
            <a:t>Can an </a:t>
          </a:r>
          <a:r>
            <a:rPr lang="en-US" sz="1100" b="1"/>
            <a:t>ERV/HRV</a:t>
          </a:r>
          <a:r>
            <a:rPr lang="en-US" sz="1100" baseline="0"/>
            <a:t>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 installed and </a:t>
          </a:r>
          <a:r>
            <a:rPr lang="en-US" sz="1100"/>
            <a:t>meet  62.2 requirements ?</a:t>
          </a:r>
        </a:p>
      </xdr:txBody>
    </xdr:sp>
    <xdr:clientData/>
  </xdr:twoCellAnchor>
  <xdr:twoCellAnchor>
    <xdr:from>
      <xdr:col>8</xdr:col>
      <xdr:colOff>493060</xdr:colOff>
      <xdr:row>106</xdr:row>
      <xdr:rowOff>80121</xdr:rowOff>
    </xdr:from>
    <xdr:to>
      <xdr:col>14</xdr:col>
      <xdr:colOff>121585</xdr:colOff>
      <xdr:row>115</xdr:row>
      <xdr:rowOff>165846</xdr:rowOff>
    </xdr:to>
    <xdr:sp macro="" textlink="">
      <xdr:nvSpPr>
        <xdr:cNvPr id="56" name="Flowchart: Decision 5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/>
      </xdr:nvSpPr>
      <xdr:spPr>
        <a:xfrm>
          <a:off x="6446185" y="20273121"/>
          <a:ext cx="3286125" cy="1800225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endParaRPr lang="en-US" sz="1100"/>
        </a:p>
        <a:p>
          <a:pPr algn="ctr"/>
          <a:r>
            <a:rPr lang="en-US" sz="1100"/>
            <a:t>Will </a:t>
          </a:r>
          <a:r>
            <a:rPr lang="en-US" sz="1100" b="1"/>
            <a:t>exhaust/supply combo fans</a:t>
          </a:r>
          <a:r>
            <a:rPr lang="en-US" sz="1100" b="1" baseline="0"/>
            <a:t> </a:t>
          </a:r>
          <a:r>
            <a:rPr lang="en-US" sz="1100" b="0" baseline="0"/>
            <a:t>with controller</a:t>
          </a:r>
          <a:r>
            <a:rPr lang="en-US" sz="1100" b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 installed and </a:t>
          </a:r>
          <a:r>
            <a:rPr lang="en-US" sz="1100"/>
            <a:t>meet  62.2 requirements ?</a:t>
          </a:r>
        </a:p>
      </xdr:txBody>
    </xdr:sp>
    <xdr:clientData/>
  </xdr:twoCellAnchor>
  <xdr:twoCellAnchor>
    <xdr:from>
      <xdr:col>9</xdr:col>
      <xdr:colOff>515471</xdr:colOff>
      <xdr:row>118</xdr:row>
      <xdr:rowOff>168087</xdr:rowOff>
    </xdr:from>
    <xdr:to>
      <xdr:col>13</xdr:col>
      <xdr:colOff>100853</xdr:colOff>
      <xdr:row>121</xdr:row>
      <xdr:rowOff>44824</xdr:rowOff>
    </xdr:to>
    <xdr:sp macro="" textlink="">
      <xdr:nvSpPr>
        <xdr:cNvPr id="57" name="Rounded Rectangle 56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SpPr/>
      </xdr:nvSpPr>
      <xdr:spPr>
        <a:xfrm>
          <a:off x="7078196" y="22647087"/>
          <a:ext cx="2023782" cy="44823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Reassess ventilation strategy</a:t>
          </a:r>
        </a:p>
      </xdr:txBody>
    </xdr:sp>
    <xdr:clientData/>
  </xdr:twoCellAnchor>
  <xdr:twoCellAnchor>
    <xdr:from>
      <xdr:col>11</xdr:col>
      <xdr:colOff>304801</xdr:colOff>
      <xdr:row>88</xdr:row>
      <xdr:rowOff>107576</xdr:rowOff>
    </xdr:from>
    <xdr:to>
      <xdr:col>11</xdr:col>
      <xdr:colOff>305082</xdr:colOff>
      <xdr:row>94</xdr:row>
      <xdr:rowOff>151840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CxnSpPr>
          <a:stCxn id="46" idx="2"/>
          <a:endCxn id="55" idx="0"/>
        </xdr:cNvCxnSpPr>
      </xdr:nvCxnSpPr>
      <xdr:spPr>
        <a:xfrm flipH="1">
          <a:off x="8086726" y="16871576"/>
          <a:ext cx="281" cy="118726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304801</xdr:colOff>
      <xdr:row>102</xdr:row>
      <xdr:rowOff>168088</xdr:rowOff>
    </xdr:from>
    <xdr:to>
      <xdr:col>11</xdr:col>
      <xdr:colOff>307323</xdr:colOff>
      <xdr:row>106</xdr:row>
      <xdr:rowOff>80121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CxnSpPr>
          <a:stCxn id="55" idx="2"/>
          <a:endCxn id="56" idx="0"/>
        </xdr:cNvCxnSpPr>
      </xdr:nvCxnSpPr>
      <xdr:spPr>
        <a:xfrm>
          <a:off x="8086726" y="19599088"/>
          <a:ext cx="2522" cy="67403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307323</xdr:colOff>
      <xdr:row>115</xdr:row>
      <xdr:rowOff>165846</xdr:rowOff>
    </xdr:from>
    <xdr:to>
      <xdr:col>11</xdr:col>
      <xdr:colOff>308162</xdr:colOff>
      <xdr:row>118</xdr:row>
      <xdr:rowOff>168087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CxnSpPr>
          <a:stCxn id="56" idx="2"/>
          <a:endCxn id="57" idx="0"/>
        </xdr:cNvCxnSpPr>
      </xdr:nvCxnSpPr>
      <xdr:spPr>
        <a:xfrm>
          <a:off x="8089248" y="22073346"/>
          <a:ext cx="839" cy="57374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188259</xdr:colOff>
      <xdr:row>97</xdr:row>
      <xdr:rowOff>60511</xdr:rowOff>
    </xdr:from>
    <xdr:to>
      <xdr:col>8</xdr:col>
      <xdr:colOff>602877</xdr:colOff>
      <xdr:row>98</xdr:row>
      <xdr:rowOff>98611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/>
      </xdr:nvSpPr>
      <xdr:spPr>
        <a:xfrm>
          <a:off x="6141384" y="18539011"/>
          <a:ext cx="414618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8</xdr:col>
      <xdr:colOff>63314</xdr:colOff>
      <xdr:row>109</xdr:row>
      <xdr:rowOff>89646</xdr:rowOff>
    </xdr:from>
    <xdr:to>
      <xdr:col>8</xdr:col>
      <xdr:colOff>482414</xdr:colOff>
      <xdr:row>110</xdr:row>
      <xdr:rowOff>127746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/>
      </xdr:nvSpPr>
      <xdr:spPr>
        <a:xfrm>
          <a:off x="6016439" y="20854146"/>
          <a:ext cx="41910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10</xdr:col>
      <xdr:colOff>457762</xdr:colOff>
      <xdr:row>89</xdr:row>
      <xdr:rowOff>7284</xdr:rowOff>
    </xdr:from>
    <xdr:to>
      <xdr:col>11</xdr:col>
      <xdr:colOff>219637</xdr:colOff>
      <xdr:row>90</xdr:row>
      <xdr:rowOff>45384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/>
      </xdr:nvSpPr>
      <xdr:spPr>
        <a:xfrm>
          <a:off x="7630087" y="16961784"/>
          <a:ext cx="37147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10</xdr:col>
      <xdr:colOff>430868</xdr:colOff>
      <xdr:row>103</xdr:row>
      <xdr:rowOff>70037</xdr:rowOff>
    </xdr:from>
    <xdr:to>
      <xdr:col>11</xdr:col>
      <xdr:colOff>192743</xdr:colOff>
      <xdr:row>104</xdr:row>
      <xdr:rowOff>108137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/>
      </xdr:nvSpPr>
      <xdr:spPr>
        <a:xfrm>
          <a:off x="7603193" y="19691537"/>
          <a:ext cx="37147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10</xdr:col>
      <xdr:colOff>403974</xdr:colOff>
      <xdr:row>116</xdr:row>
      <xdr:rowOff>54348</xdr:rowOff>
    </xdr:from>
    <xdr:to>
      <xdr:col>11</xdr:col>
      <xdr:colOff>165849</xdr:colOff>
      <xdr:row>117</xdr:row>
      <xdr:rowOff>92448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/>
      </xdr:nvSpPr>
      <xdr:spPr>
        <a:xfrm>
          <a:off x="7576299" y="22152348"/>
          <a:ext cx="37147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2</xdr:col>
      <xdr:colOff>1248335</xdr:colOff>
      <xdr:row>102</xdr:row>
      <xdr:rowOff>25213</xdr:rowOff>
    </xdr:from>
    <xdr:to>
      <xdr:col>6</xdr:col>
      <xdr:colOff>201707</xdr:colOff>
      <xdr:row>108</xdr:row>
      <xdr:rowOff>146796</xdr:rowOff>
    </xdr:to>
    <xdr:sp macro="" textlink="">
      <xdr:nvSpPr>
        <xdr:cNvPr id="66" name="Flowchart: Decision 65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/>
      </xdr:nvSpPr>
      <xdr:spPr>
        <a:xfrm>
          <a:off x="2505635" y="19456213"/>
          <a:ext cx="2429997" cy="1264583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45720" rIns="45720" rtlCol="0" anchor="t"/>
        <a:lstStyle/>
        <a:p>
          <a:pPr algn="ctr"/>
          <a:r>
            <a:rPr lang="en-US" sz="1100"/>
            <a:t>Is the home in climate zone 4 or less?</a:t>
          </a:r>
        </a:p>
      </xdr:txBody>
    </xdr:sp>
    <xdr:clientData/>
  </xdr:twoCellAnchor>
  <xdr:twoCellAnchor>
    <xdr:from>
      <xdr:col>3</xdr:col>
      <xdr:colOff>221900</xdr:colOff>
      <xdr:row>109</xdr:row>
      <xdr:rowOff>99172</xdr:rowOff>
    </xdr:from>
    <xdr:to>
      <xdr:col>4</xdr:col>
      <xdr:colOff>54324</xdr:colOff>
      <xdr:row>110</xdr:row>
      <xdr:rowOff>146797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/>
      </xdr:nvSpPr>
      <xdr:spPr>
        <a:xfrm>
          <a:off x="3127025" y="20863672"/>
          <a:ext cx="442024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</a:t>
          </a:r>
        </a:p>
      </xdr:txBody>
    </xdr:sp>
    <xdr:clientData/>
  </xdr:twoCellAnchor>
  <xdr:twoCellAnchor>
    <xdr:from>
      <xdr:col>2</xdr:col>
      <xdr:colOff>714887</xdr:colOff>
      <xdr:row>103</xdr:row>
      <xdr:rowOff>118222</xdr:rowOff>
    </xdr:from>
    <xdr:to>
      <xdr:col>2</xdr:col>
      <xdr:colOff>1169846</xdr:colOff>
      <xdr:row>105</xdr:row>
      <xdr:rowOff>3922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/>
      </xdr:nvSpPr>
      <xdr:spPr>
        <a:xfrm>
          <a:off x="1972187" y="19739722"/>
          <a:ext cx="454959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3</xdr:col>
      <xdr:colOff>361949</xdr:colOff>
      <xdr:row>113</xdr:row>
      <xdr:rowOff>70598</xdr:rowOff>
    </xdr:from>
    <xdr:to>
      <xdr:col>5</xdr:col>
      <xdr:colOff>57150</xdr:colOff>
      <xdr:row>117</xdr:row>
      <xdr:rowOff>0</xdr:rowOff>
    </xdr:to>
    <xdr:sp macro="" textlink="">
      <xdr:nvSpPr>
        <xdr:cNvPr id="69" name="Flowchart: Alternate Process 68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/>
      </xdr:nvSpPr>
      <xdr:spPr>
        <a:xfrm>
          <a:off x="3228974" y="21768548"/>
          <a:ext cx="914401" cy="691402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Consider installing an </a:t>
          </a:r>
          <a:r>
            <a:rPr lang="en-US" sz="1100"/>
            <a:t>HRV</a:t>
          </a:r>
        </a:p>
      </xdr:txBody>
    </xdr:sp>
    <xdr:clientData/>
  </xdr:twoCellAnchor>
  <xdr:twoCellAnchor>
    <xdr:from>
      <xdr:col>2</xdr:col>
      <xdr:colOff>78441</xdr:colOff>
      <xdr:row>113</xdr:row>
      <xdr:rowOff>80123</xdr:rowOff>
    </xdr:from>
    <xdr:to>
      <xdr:col>2</xdr:col>
      <xdr:colOff>1028700</xdr:colOff>
      <xdr:row>117</xdr:row>
      <xdr:rowOff>66261</xdr:rowOff>
    </xdr:to>
    <xdr:sp macro="" textlink="">
      <xdr:nvSpPr>
        <xdr:cNvPr id="70" name="Flowchart: Alternate Process 69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/>
      </xdr:nvSpPr>
      <xdr:spPr>
        <a:xfrm>
          <a:off x="1297641" y="21223966"/>
          <a:ext cx="950259" cy="728260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Consider installing an ERV</a:t>
          </a:r>
        </a:p>
      </xdr:txBody>
    </xdr:sp>
    <xdr:clientData/>
  </xdr:twoCellAnchor>
  <xdr:twoCellAnchor>
    <xdr:from>
      <xdr:col>2</xdr:col>
      <xdr:colOff>553571</xdr:colOff>
      <xdr:row>105</xdr:row>
      <xdr:rowOff>86004</xdr:rowOff>
    </xdr:from>
    <xdr:to>
      <xdr:col>2</xdr:col>
      <xdr:colOff>1248335</xdr:colOff>
      <xdr:row>113</xdr:row>
      <xdr:rowOff>80122</xdr:rowOff>
    </xdr:to>
    <xdr:cxnSp macro="">
      <xdr:nvCxnSpPr>
        <xdr:cNvPr id="71" name="Elbow Connector 70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CxnSpPr>
          <a:stCxn id="66" idx="1"/>
          <a:endCxn id="70" idx="0"/>
        </xdr:cNvCxnSpPr>
      </xdr:nvCxnSpPr>
      <xdr:spPr>
        <a:xfrm rot="10800000" flipV="1">
          <a:off x="1772771" y="19745604"/>
          <a:ext cx="694764" cy="1478361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205909</xdr:colOff>
      <xdr:row>108</xdr:row>
      <xdr:rowOff>146796</xdr:rowOff>
    </xdr:from>
    <xdr:to>
      <xdr:col>4</xdr:col>
      <xdr:colOff>209550</xdr:colOff>
      <xdr:row>113</xdr:row>
      <xdr:rowOff>70598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CxnSpPr>
          <a:stCxn id="66" idx="2"/>
          <a:endCxn id="69" idx="0"/>
        </xdr:cNvCxnSpPr>
      </xdr:nvCxnSpPr>
      <xdr:spPr>
        <a:xfrm>
          <a:off x="3682534" y="20892246"/>
          <a:ext cx="3641" cy="87630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205910</xdr:colOff>
      <xdr:row>98</xdr:row>
      <xdr:rowOff>159963</xdr:rowOff>
    </xdr:from>
    <xdr:to>
      <xdr:col>9</xdr:col>
      <xdr:colOff>194985</xdr:colOff>
      <xdr:row>102</xdr:row>
      <xdr:rowOff>25212</xdr:rowOff>
    </xdr:to>
    <xdr:cxnSp macro="">
      <xdr:nvCxnSpPr>
        <xdr:cNvPr id="73" name="Elbow Connector 72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CxnSpPr>
          <a:stCxn id="55" idx="1"/>
          <a:endCxn id="66" idx="0"/>
        </xdr:cNvCxnSpPr>
      </xdr:nvCxnSpPr>
      <xdr:spPr>
        <a:xfrm rot="10800000" flipV="1">
          <a:off x="3720635" y="18828963"/>
          <a:ext cx="3037075" cy="627249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528361</xdr:colOff>
      <xdr:row>109</xdr:row>
      <xdr:rowOff>107017</xdr:rowOff>
    </xdr:from>
    <xdr:to>
      <xdr:col>7</xdr:col>
      <xdr:colOff>527800</xdr:colOff>
      <xdr:row>112</xdr:row>
      <xdr:rowOff>135592</xdr:rowOff>
    </xdr:to>
    <xdr:sp macro="" textlink="">
      <xdr:nvSpPr>
        <xdr:cNvPr id="74" name="Flowchart: Alternate Process 73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/>
      </xdr:nvSpPr>
      <xdr:spPr>
        <a:xfrm>
          <a:off x="4652686" y="20871517"/>
          <a:ext cx="1218639" cy="600075"/>
        </a:xfrm>
        <a:prstGeom prst="flowChartAlternateProcess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/>
            <a:t>Install and verify operation</a:t>
          </a:r>
        </a:p>
      </xdr:txBody>
    </xdr:sp>
    <xdr:clientData/>
  </xdr:twoCellAnchor>
  <xdr:twoCellAnchor>
    <xdr:from>
      <xdr:col>7</xdr:col>
      <xdr:colOff>527800</xdr:colOff>
      <xdr:row>111</xdr:row>
      <xdr:rowOff>26055</xdr:rowOff>
    </xdr:from>
    <xdr:to>
      <xdr:col>8</xdr:col>
      <xdr:colOff>493060</xdr:colOff>
      <xdr:row>111</xdr:row>
      <xdr:rowOff>27734</xdr:rowOff>
    </xdr:to>
    <xdr:cxnSp macro="">
      <xdr:nvCxnSpPr>
        <xdr:cNvPr id="75" name="Straight Arrow Connector 74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CxnSpPr>
          <a:stCxn id="56" idx="1"/>
          <a:endCxn id="74" idx="3"/>
        </xdr:cNvCxnSpPr>
      </xdr:nvCxnSpPr>
      <xdr:spPr>
        <a:xfrm flipH="1" flipV="1">
          <a:off x="5871325" y="21171555"/>
          <a:ext cx="574860" cy="167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244289</xdr:colOff>
      <xdr:row>96</xdr:row>
      <xdr:rowOff>127747</xdr:rowOff>
    </xdr:from>
    <xdr:to>
      <xdr:col>6</xdr:col>
      <xdr:colOff>53790</xdr:colOff>
      <xdr:row>97</xdr:row>
      <xdr:rowOff>165847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SpPr txBox="1"/>
      </xdr:nvSpPr>
      <xdr:spPr>
        <a:xfrm>
          <a:off x="4368614" y="18415747"/>
          <a:ext cx="419101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Yes</a:t>
          </a:r>
        </a:p>
      </xdr:txBody>
    </xdr:sp>
    <xdr:clientData/>
  </xdr:twoCellAnchor>
  <xdr:twoCellAnchor>
    <xdr:from>
      <xdr:col>5</xdr:col>
      <xdr:colOff>487456</xdr:colOff>
      <xdr:row>40</xdr:row>
      <xdr:rowOff>19051</xdr:rowOff>
    </xdr:from>
    <xdr:to>
      <xdr:col>8</xdr:col>
      <xdr:colOff>93850</xdr:colOff>
      <xdr:row>41</xdr:row>
      <xdr:rowOff>149039</xdr:rowOff>
    </xdr:to>
    <xdr:cxnSp macro="">
      <xdr:nvCxnSpPr>
        <xdr:cNvPr id="77" name="Elbow Connector 7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CxnSpPr>
          <a:stCxn id="8" idx="2"/>
          <a:endCxn id="89" idx="0"/>
        </xdr:cNvCxnSpPr>
      </xdr:nvCxnSpPr>
      <xdr:spPr>
        <a:xfrm rot="16200000" flipH="1">
          <a:off x="5175346" y="7059335"/>
          <a:ext cx="315518" cy="1435194"/>
        </a:xfrm>
        <a:prstGeom prst="bentConnector3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89648</xdr:colOff>
      <xdr:row>39</xdr:row>
      <xdr:rowOff>22412</xdr:rowOff>
    </xdr:from>
    <xdr:to>
      <xdr:col>3</xdr:col>
      <xdr:colOff>400612</xdr:colOff>
      <xdr:row>47</xdr:row>
      <xdr:rowOff>184336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SpPr txBox="1"/>
      </xdr:nvSpPr>
      <xdr:spPr>
        <a:xfrm>
          <a:off x="1346948" y="7451912"/>
          <a:ext cx="1958789" cy="16859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2. Whole house exhaust fan</a:t>
          </a:r>
        </a:p>
        <a:p>
          <a:r>
            <a:rPr lang="en-US" sz="1100"/>
            <a:t>----------------------------------</a:t>
          </a:r>
        </a:p>
        <a:p>
          <a:r>
            <a:rPr lang="en-US" sz="1100" b="1"/>
            <a:t>Pros: </a:t>
          </a:r>
        </a:p>
        <a:p>
          <a:r>
            <a:rPr lang="en-US" sz="1100"/>
            <a:t>Low cost</a:t>
          </a:r>
        </a:p>
        <a:p>
          <a:r>
            <a:rPr lang="en-US" sz="1100"/>
            <a:t>Easy install</a:t>
          </a:r>
        </a:p>
        <a:p>
          <a:r>
            <a:rPr lang="en-US" sz="1100"/>
            <a:t>---------------------------------</a:t>
          </a:r>
        </a:p>
        <a:p>
          <a:r>
            <a:rPr lang="en-US" sz="1100" b="1"/>
            <a:t>Cons:</a:t>
          </a:r>
        </a:p>
        <a:p>
          <a:r>
            <a:rPr lang="en-US" sz="1100"/>
            <a:t>Random supply air</a:t>
          </a:r>
        </a:p>
        <a:p>
          <a:r>
            <a:rPr lang="en-US" sz="1100"/>
            <a:t>House depressurization</a:t>
          </a:r>
        </a:p>
        <a:p>
          <a:endParaRPr lang="en-US" sz="1100"/>
        </a:p>
      </xdr:txBody>
    </xdr:sp>
    <xdr:clientData/>
  </xdr:twoCellAnchor>
  <xdr:twoCellAnchor>
    <xdr:from>
      <xdr:col>2</xdr:col>
      <xdr:colOff>107578</xdr:colOff>
      <xdr:row>56</xdr:row>
      <xdr:rowOff>73960</xdr:rowOff>
    </xdr:from>
    <xdr:to>
      <xdr:col>3</xdr:col>
      <xdr:colOff>418542</xdr:colOff>
      <xdr:row>65</xdr:row>
      <xdr:rowOff>45384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SpPr txBox="1"/>
      </xdr:nvSpPr>
      <xdr:spPr>
        <a:xfrm>
          <a:off x="1364878" y="10741960"/>
          <a:ext cx="1958789" cy="16859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3. Whole house supply fan</a:t>
          </a:r>
        </a:p>
        <a:p>
          <a:r>
            <a:rPr lang="en-US" sz="1100"/>
            <a:t>----------------------------------</a:t>
          </a:r>
        </a:p>
        <a:p>
          <a:r>
            <a:rPr lang="en-US" sz="1100" b="1"/>
            <a:t>Pros: </a:t>
          </a:r>
        </a:p>
        <a:p>
          <a:r>
            <a:rPr lang="en-US" sz="1100"/>
            <a:t>Low cost</a:t>
          </a:r>
        </a:p>
        <a:p>
          <a:r>
            <a:rPr lang="en-US" sz="1100"/>
            <a:t>Easy install</a:t>
          </a:r>
        </a:p>
        <a:p>
          <a:r>
            <a:rPr lang="en-US" sz="1100"/>
            <a:t>---------------------------------</a:t>
          </a:r>
        </a:p>
        <a:p>
          <a:r>
            <a:rPr lang="en-US" sz="1100" b="1"/>
            <a:t>Cons:</a:t>
          </a:r>
        </a:p>
        <a:p>
          <a:r>
            <a:rPr lang="en-US" sz="1100"/>
            <a:t>Unconditioned</a:t>
          </a:r>
          <a:r>
            <a:rPr lang="en-US" sz="1100" baseline="0"/>
            <a:t> air</a:t>
          </a:r>
        </a:p>
        <a:p>
          <a:r>
            <a:rPr lang="en-US" sz="1100"/>
            <a:t>House pressurization</a:t>
          </a:r>
        </a:p>
        <a:p>
          <a:endParaRPr lang="en-US" sz="1100"/>
        </a:p>
      </xdr:txBody>
    </xdr:sp>
    <xdr:clientData/>
  </xdr:twoCellAnchor>
  <xdr:twoCellAnchor>
    <xdr:from>
      <xdr:col>2</xdr:col>
      <xdr:colOff>0</xdr:colOff>
      <xdr:row>75</xdr:row>
      <xdr:rowOff>190499</xdr:rowOff>
    </xdr:from>
    <xdr:to>
      <xdr:col>3</xdr:col>
      <xdr:colOff>481852</xdr:colOff>
      <xdr:row>87</xdr:row>
      <xdr:rowOff>67234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SpPr txBox="1"/>
      </xdr:nvSpPr>
      <xdr:spPr>
        <a:xfrm>
          <a:off x="1257300" y="14477999"/>
          <a:ext cx="2129677" cy="21627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4. Outside supply duct to furnace</a:t>
          </a:r>
        </a:p>
        <a:p>
          <a:r>
            <a:rPr lang="en-US" sz="1100"/>
            <a:t>----------------------------------</a:t>
          </a:r>
        </a:p>
        <a:p>
          <a:r>
            <a:rPr lang="en-US" sz="1100" b="1"/>
            <a:t>Pros: </a:t>
          </a:r>
        </a:p>
        <a:p>
          <a:r>
            <a:rPr lang="en-US" sz="1100"/>
            <a:t>Low cost</a:t>
          </a:r>
        </a:p>
        <a:p>
          <a:r>
            <a:rPr lang="en-US" sz="1100"/>
            <a:t>Moderately</a:t>
          </a:r>
          <a:r>
            <a:rPr lang="en-US" sz="1100" baseline="0"/>
            <a:t> easy install</a:t>
          </a:r>
          <a:endParaRPr lang="en-US" sz="1100"/>
        </a:p>
        <a:p>
          <a:r>
            <a:rPr lang="en-US" sz="1100"/>
            <a:t>Use</a:t>
          </a:r>
          <a:r>
            <a:rPr lang="en-US" sz="1100" baseline="0"/>
            <a:t> existing furnace blower</a:t>
          </a:r>
        </a:p>
        <a:p>
          <a:r>
            <a:rPr lang="en-US" sz="1100" baseline="0"/>
            <a:t>Can reduce  CAZ depressurization</a:t>
          </a:r>
          <a:endParaRPr lang="en-US" sz="1100"/>
        </a:p>
        <a:p>
          <a:pPr>
            <a:lnSpc>
              <a:spcPts val="1200"/>
            </a:lnSpc>
          </a:pPr>
          <a:r>
            <a:rPr lang="en-US" sz="1100"/>
            <a:t>---------------------------------</a:t>
          </a:r>
        </a:p>
        <a:p>
          <a:pPr>
            <a:lnSpc>
              <a:spcPts val="1200"/>
            </a:lnSpc>
          </a:pPr>
          <a:r>
            <a:rPr lang="en-US" sz="1100" b="1"/>
            <a:t>Cons:</a:t>
          </a:r>
        </a:p>
        <a:p>
          <a:r>
            <a:rPr lang="en-US" sz="1100"/>
            <a:t>Unconditioned</a:t>
          </a:r>
          <a:r>
            <a:rPr lang="en-US" sz="1100" baseline="0"/>
            <a:t> air</a:t>
          </a:r>
        </a:p>
        <a:p>
          <a:pPr>
            <a:lnSpc>
              <a:spcPts val="1200"/>
            </a:lnSpc>
          </a:pPr>
          <a:r>
            <a:rPr lang="en-US" sz="1100"/>
            <a:t>House pressurization</a:t>
          </a:r>
        </a:p>
        <a:p>
          <a:pPr>
            <a:lnSpc>
              <a:spcPts val="1200"/>
            </a:lnSpc>
          </a:pPr>
          <a:r>
            <a:rPr lang="en-US" sz="1100"/>
            <a:t>Higher operating costs</a:t>
          </a:r>
        </a:p>
        <a:p>
          <a:endParaRPr lang="en-US" sz="1100"/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2</xdr:col>
      <xdr:colOff>22972</xdr:colOff>
      <xdr:row>93</xdr:row>
      <xdr:rowOff>91328</xdr:rowOff>
    </xdr:from>
    <xdr:to>
      <xdr:col>3</xdr:col>
      <xdr:colOff>447675</xdr:colOff>
      <xdr:row>102</xdr:row>
      <xdr:rowOff>39781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SpPr txBox="1"/>
      </xdr:nvSpPr>
      <xdr:spPr>
        <a:xfrm>
          <a:off x="1280272" y="17807828"/>
          <a:ext cx="2072528" cy="16629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lang="en-US" sz="1100" b="1"/>
            <a:t>5. ERV/HRV</a:t>
          </a:r>
        </a:p>
        <a:p>
          <a:pPr>
            <a:lnSpc>
              <a:spcPts val="1200"/>
            </a:lnSpc>
          </a:pPr>
          <a:r>
            <a:rPr lang="en-US" sz="1100"/>
            <a:t>----------------------------------</a:t>
          </a:r>
        </a:p>
        <a:p>
          <a:pPr>
            <a:lnSpc>
              <a:spcPts val="1200"/>
            </a:lnSpc>
          </a:pPr>
          <a:r>
            <a:rPr lang="en-US" sz="1100" b="1"/>
            <a:t>Pros: </a:t>
          </a:r>
        </a:p>
        <a:p>
          <a:r>
            <a:rPr lang="en-US" sz="1100"/>
            <a:t>May use</a:t>
          </a:r>
          <a:r>
            <a:rPr lang="en-US" sz="1100" baseline="0"/>
            <a:t> existing furnace blower</a:t>
          </a:r>
        </a:p>
        <a:p>
          <a:pPr>
            <a:lnSpc>
              <a:spcPts val="1200"/>
            </a:lnSpc>
          </a:pPr>
          <a:r>
            <a:rPr lang="en-US" sz="1100" baseline="0"/>
            <a:t>House pressure  balanced</a:t>
          </a:r>
          <a:endParaRPr lang="en-US" sz="1100"/>
        </a:p>
        <a:p>
          <a:pPr>
            <a:lnSpc>
              <a:spcPts val="1200"/>
            </a:lnSpc>
          </a:pPr>
          <a:r>
            <a:rPr lang="en-US" sz="1100"/>
            <a:t>---------------------------------</a:t>
          </a:r>
        </a:p>
        <a:p>
          <a:r>
            <a:rPr lang="en-US" sz="1100" b="1"/>
            <a:t>Cons:</a:t>
          </a:r>
        </a:p>
        <a:p>
          <a:pPr>
            <a:lnSpc>
              <a:spcPts val="1200"/>
            </a:lnSpc>
          </a:pPr>
          <a:r>
            <a:rPr lang="en-US" sz="1100"/>
            <a:t>Cost</a:t>
          </a:r>
        </a:p>
        <a:p>
          <a:pPr>
            <a:lnSpc>
              <a:spcPts val="1200"/>
            </a:lnSpc>
          </a:pPr>
          <a:r>
            <a:rPr lang="en-US" sz="1100" baseline="0"/>
            <a:t>More complex install</a:t>
          </a:r>
        </a:p>
        <a:p>
          <a:endParaRPr lang="en-US" sz="1100"/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6</xdr:col>
      <xdr:colOff>140074</xdr:colOff>
      <xdr:row>41</xdr:row>
      <xdr:rowOff>149039</xdr:rowOff>
    </xdr:from>
    <xdr:to>
      <xdr:col>10</xdr:col>
      <xdr:colOff>47626</xdr:colOff>
      <xdr:row>49</xdr:row>
      <xdr:rowOff>99390</xdr:rowOff>
    </xdr:to>
    <xdr:sp macro="" textlink="">
      <xdr:nvSpPr>
        <xdr:cNvPr id="89" name="Flowchart: Decision 88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/>
      </xdr:nvSpPr>
      <xdr:spPr>
        <a:xfrm>
          <a:off x="4877726" y="7934691"/>
          <a:ext cx="2345952" cy="1434595"/>
        </a:xfrm>
        <a:prstGeom prst="flowChartDecision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Can the CAZ depressurization CAZ problems be corrected?</a:t>
          </a:r>
          <a:endParaRPr lang="en-US">
            <a:effectLst/>
          </a:endParaRPr>
        </a:p>
      </xdr:txBody>
    </xdr:sp>
    <xdr:clientData/>
  </xdr:twoCellAnchor>
  <xdr:oneCellAnchor>
    <xdr:from>
      <xdr:col>8</xdr:col>
      <xdr:colOff>123825</xdr:colOff>
      <xdr:row>48</xdr:row>
      <xdr:rowOff>171450</xdr:rowOff>
    </xdr:from>
    <xdr:ext cx="350096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SpPr txBox="1"/>
      </xdr:nvSpPr>
      <xdr:spPr>
        <a:xfrm>
          <a:off x="6062455" y="9489385"/>
          <a:ext cx="350096" cy="264560"/>
        </a:xfrm>
        <a:prstGeom prst="rect">
          <a:avLst/>
        </a:prstGeom>
        <a:noFill/>
        <a:ln>
          <a:solidFill>
            <a:schemeClr val="bg1">
              <a:lumMod val="50000"/>
              <a:alpha val="5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n>
                <a:noFill/>
              </a:ln>
            </a:rPr>
            <a:t>No</a:t>
          </a:r>
        </a:p>
      </xdr:txBody>
    </xdr:sp>
    <xdr:clientData/>
  </xdr:oneCellAnchor>
  <xdr:twoCellAnchor>
    <xdr:from>
      <xdr:col>2</xdr:col>
      <xdr:colOff>1504962</xdr:colOff>
      <xdr:row>36</xdr:row>
      <xdr:rowOff>123831</xdr:rowOff>
    </xdr:from>
    <xdr:to>
      <xdr:col>6</xdr:col>
      <xdr:colOff>140075</xdr:colOff>
      <xdr:row>45</xdr:row>
      <xdr:rowOff>124215</xdr:rowOff>
    </xdr:to>
    <xdr:cxnSp macro="">
      <xdr:nvCxnSpPr>
        <xdr:cNvPr id="98" name="Elbow Connector 97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CxnSpPr>
          <a:stCxn id="89" idx="1"/>
        </xdr:cNvCxnSpPr>
      </xdr:nvCxnSpPr>
      <xdr:spPr>
        <a:xfrm rot="10800000">
          <a:off x="2724162" y="6981831"/>
          <a:ext cx="2153565" cy="1670158"/>
        </a:xfrm>
        <a:prstGeom prst="bentConnector3">
          <a:avLst>
            <a:gd name="adj1" fmla="val 61692"/>
          </a:avLst>
        </a:prstGeom>
        <a:ln>
          <a:solidFill>
            <a:schemeClr val="tx1"/>
          </a:solidFill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1</xdr:row>
      <xdr:rowOff>161925</xdr:rowOff>
    </xdr:from>
    <xdr:to>
      <xdr:col>15</xdr:col>
      <xdr:colOff>371475</xdr:colOff>
      <xdr:row>6</xdr:row>
      <xdr:rowOff>9525</xdr:rowOff>
    </xdr:to>
    <xdr:pic>
      <xdr:nvPicPr>
        <xdr:cNvPr id="17411" name="Picture 1">
          <a:extLst>
            <a:ext uri="{FF2B5EF4-FFF2-40B4-BE49-F238E27FC236}">
              <a16:creationId xmlns:a16="http://schemas.microsoft.com/office/drawing/2014/main" id="{00000000-0008-0000-0B00-000003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352425"/>
          <a:ext cx="56578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0</xdr:row>
      <xdr:rowOff>161925</xdr:rowOff>
    </xdr:from>
    <xdr:to>
      <xdr:col>4</xdr:col>
      <xdr:colOff>28575</xdr:colOff>
      <xdr:row>5</xdr:row>
      <xdr:rowOff>190500</xdr:rowOff>
    </xdr:to>
    <xdr:pic>
      <xdr:nvPicPr>
        <xdr:cNvPr id="17412" name="Picture 3">
          <a:extLst>
            <a:ext uri="{FF2B5EF4-FFF2-40B4-BE49-F238E27FC236}">
              <a16:creationId xmlns:a16="http://schemas.microsoft.com/office/drawing/2014/main" id="{00000000-0008-0000-0B00-000004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61925"/>
          <a:ext cx="17430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447675</xdr:colOff>
      <xdr:row>1</xdr:row>
      <xdr:rowOff>171450</xdr:rowOff>
    </xdr:from>
    <xdr:to>
      <xdr:col>21</xdr:col>
      <xdr:colOff>76200</xdr:colOff>
      <xdr:row>5</xdr:row>
      <xdr:rowOff>171450</xdr:rowOff>
    </xdr:to>
    <xdr:pic>
      <xdr:nvPicPr>
        <xdr:cNvPr id="17413" name="Picture 4" descr="http://www.iremnyc.org/irem/FileContents.phx?fileid=7a3ddc82-23d7-4bd4-a1bc-3ef19df7779d">
          <a:extLst>
            <a:ext uri="{FF2B5EF4-FFF2-40B4-BE49-F238E27FC236}">
              <a16:creationId xmlns:a16="http://schemas.microsoft.com/office/drawing/2014/main" id="{00000000-0008-0000-0B00-000005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361950"/>
          <a:ext cx="20669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8</xdr:row>
          <xdr:rowOff>142875</xdr:rowOff>
        </xdr:from>
        <xdr:to>
          <xdr:col>21</xdr:col>
          <xdr:colOff>447675</xdr:colOff>
          <xdr:row>51</xdr:row>
          <xdr:rowOff>95250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B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8</xdr:row>
          <xdr:rowOff>104775</xdr:rowOff>
        </xdr:from>
        <xdr:to>
          <xdr:col>22</xdr:col>
          <xdr:colOff>19050</xdr:colOff>
          <xdr:row>51</xdr:row>
          <xdr:rowOff>57150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B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cdowell/AppData/Local/Microsoft/Windows/Temporary%20Internet%20Files/Content.Outlook/F0FBANU2/NYS%20HCR%20ASHRAE%2062%202%20Calculator%202013_ver1.7-locked_AR%20EDI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all Homes Ventilation"/>
      <sheetName val="Comparison"/>
      <sheetName val="Local Exhaust Ventilation"/>
      <sheetName val="Fan Cycle Calculator"/>
      <sheetName val="62.2-2010(n) Calculations"/>
      <sheetName val="Calculations-2013"/>
      <sheetName val="Calculations-62-89"/>
      <sheetName val="Predicted-Depressurization"/>
      <sheetName val="Small Homes Flow Chart 1"/>
      <sheetName val="Small Homes Flow Chart 2"/>
      <sheetName val="Exhaust Ventilation Worksheet"/>
    </sheetNames>
    <sheetDataSet>
      <sheetData sheetId="0"/>
      <sheetData sheetId="1"/>
      <sheetData sheetId="2"/>
      <sheetData sheetId="3"/>
      <sheetData sheetId="4"/>
      <sheetData sheetId="5">
        <row r="33">
          <cell r="C33" t="str">
            <v>Adirondack Airport</v>
          </cell>
        </row>
        <row r="34">
          <cell r="C34" t="str">
            <v>Albany County Airport</v>
          </cell>
        </row>
        <row r="35">
          <cell r="C35" t="str">
            <v>Binghamton Airport</v>
          </cell>
        </row>
        <row r="36">
          <cell r="C36" t="str">
            <v>Buffalo Airport</v>
          </cell>
        </row>
        <row r="37">
          <cell r="C37" t="str">
            <v>Elmira-Corning Airport</v>
          </cell>
        </row>
        <row r="38">
          <cell r="C38" t="str">
            <v>Ft. Drum</v>
          </cell>
        </row>
        <row r="39">
          <cell r="C39" t="str">
            <v>Glens Falls Airport</v>
          </cell>
        </row>
        <row r="40">
          <cell r="C40" t="str">
            <v>Islip LI Macarthur Airport</v>
          </cell>
        </row>
        <row r="41">
          <cell r="C41" t="str">
            <v>Jamestown (AWOS)</v>
          </cell>
        </row>
        <row r="42">
          <cell r="C42" t="str">
            <v>Massena Airport</v>
          </cell>
        </row>
        <row r="43">
          <cell r="C43" t="str">
            <v>Monticello (AWOS)</v>
          </cell>
        </row>
        <row r="44">
          <cell r="C44" t="str">
            <v>Niagara Falls AF</v>
          </cell>
        </row>
        <row r="45">
          <cell r="C45" t="str">
            <v>NY Central Park</v>
          </cell>
        </row>
        <row r="46">
          <cell r="C46" t="str">
            <v>NY JFK Airport</v>
          </cell>
        </row>
        <row r="47">
          <cell r="C47" t="str">
            <v>NY LaGuardia Airport</v>
          </cell>
        </row>
        <row r="48">
          <cell r="C48" t="str">
            <v>Poughkeepsie Airport</v>
          </cell>
        </row>
        <row r="49">
          <cell r="C49" t="str">
            <v>Republic</v>
          </cell>
        </row>
        <row r="50">
          <cell r="C50" t="str">
            <v>Rochester Airport</v>
          </cell>
        </row>
        <row r="51">
          <cell r="C51" t="str">
            <v>Stewart Field</v>
          </cell>
        </row>
        <row r="52">
          <cell r="C52" t="str">
            <v>Syracuse Hancock Int'l Airport</v>
          </cell>
        </row>
        <row r="53">
          <cell r="C53" t="str">
            <v>Utica Oneida Co Airport</v>
          </cell>
        </row>
        <row r="54">
          <cell r="C54" t="str">
            <v>Watertown Airport</v>
          </cell>
        </row>
        <row r="55">
          <cell r="C55" t="str">
            <v>Westhampton Gabreski Airport</v>
          </cell>
        </row>
        <row r="56">
          <cell r="C56" t="str">
            <v>White Plains Westchester Airport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7.emf"/><Relationship Id="rId4" Type="http://schemas.openxmlformats.org/officeDocument/2006/relationships/oleObject" Target="../embeddings/oleObject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9.emf"/><Relationship Id="rId4" Type="http://schemas.openxmlformats.org/officeDocument/2006/relationships/oleObject" Target="../embeddings/oleObject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44.xml"/><Relationship Id="rId117" Type="http://schemas.openxmlformats.org/officeDocument/2006/relationships/ctrlProp" Target="../ctrlProps/ctrlProp135.xml"/><Relationship Id="rId21" Type="http://schemas.openxmlformats.org/officeDocument/2006/relationships/ctrlProp" Target="../ctrlProps/ctrlProp39.xml"/><Relationship Id="rId42" Type="http://schemas.openxmlformats.org/officeDocument/2006/relationships/ctrlProp" Target="../ctrlProps/ctrlProp60.xml"/><Relationship Id="rId47" Type="http://schemas.openxmlformats.org/officeDocument/2006/relationships/ctrlProp" Target="../ctrlProps/ctrlProp65.xml"/><Relationship Id="rId63" Type="http://schemas.openxmlformats.org/officeDocument/2006/relationships/ctrlProp" Target="../ctrlProps/ctrlProp81.xml"/><Relationship Id="rId68" Type="http://schemas.openxmlformats.org/officeDocument/2006/relationships/ctrlProp" Target="../ctrlProps/ctrlProp86.xml"/><Relationship Id="rId84" Type="http://schemas.openxmlformats.org/officeDocument/2006/relationships/ctrlProp" Target="../ctrlProps/ctrlProp102.xml"/><Relationship Id="rId89" Type="http://schemas.openxmlformats.org/officeDocument/2006/relationships/ctrlProp" Target="../ctrlProps/ctrlProp107.xml"/><Relationship Id="rId112" Type="http://schemas.openxmlformats.org/officeDocument/2006/relationships/ctrlProp" Target="../ctrlProps/ctrlProp130.xml"/><Relationship Id="rId133" Type="http://schemas.openxmlformats.org/officeDocument/2006/relationships/ctrlProp" Target="../ctrlProps/ctrlProp151.xml"/><Relationship Id="rId138" Type="http://schemas.openxmlformats.org/officeDocument/2006/relationships/ctrlProp" Target="../ctrlProps/ctrlProp156.xml"/><Relationship Id="rId16" Type="http://schemas.openxmlformats.org/officeDocument/2006/relationships/ctrlProp" Target="../ctrlProps/ctrlProp34.xml"/><Relationship Id="rId107" Type="http://schemas.openxmlformats.org/officeDocument/2006/relationships/ctrlProp" Target="../ctrlProps/ctrlProp125.xml"/><Relationship Id="rId11" Type="http://schemas.openxmlformats.org/officeDocument/2006/relationships/ctrlProp" Target="../ctrlProps/ctrlProp29.xml"/><Relationship Id="rId32" Type="http://schemas.openxmlformats.org/officeDocument/2006/relationships/ctrlProp" Target="../ctrlProps/ctrlProp50.xml"/><Relationship Id="rId37" Type="http://schemas.openxmlformats.org/officeDocument/2006/relationships/ctrlProp" Target="../ctrlProps/ctrlProp55.xml"/><Relationship Id="rId53" Type="http://schemas.openxmlformats.org/officeDocument/2006/relationships/ctrlProp" Target="../ctrlProps/ctrlProp71.xml"/><Relationship Id="rId58" Type="http://schemas.openxmlformats.org/officeDocument/2006/relationships/ctrlProp" Target="../ctrlProps/ctrlProp76.xml"/><Relationship Id="rId74" Type="http://schemas.openxmlformats.org/officeDocument/2006/relationships/ctrlProp" Target="../ctrlProps/ctrlProp92.xml"/><Relationship Id="rId79" Type="http://schemas.openxmlformats.org/officeDocument/2006/relationships/ctrlProp" Target="../ctrlProps/ctrlProp97.xml"/><Relationship Id="rId102" Type="http://schemas.openxmlformats.org/officeDocument/2006/relationships/ctrlProp" Target="../ctrlProps/ctrlProp120.xml"/><Relationship Id="rId123" Type="http://schemas.openxmlformats.org/officeDocument/2006/relationships/ctrlProp" Target="../ctrlProps/ctrlProp141.xml"/><Relationship Id="rId128" Type="http://schemas.openxmlformats.org/officeDocument/2006/relationships/ctrlProp" Target="../ctrlProps/ctrlProp146.xml"/><Relationship Id="rId5" Type="http://schemas.openxmlformats.org/officeDocument/2006/relationships/ctrlProp" Target="../ctrlProps/ctrlProp23.xml"/><Relationship Id="rId90" Type="http://schemas.openxmlformats.org/officeDocument/2006/relationships/ctrlProp" Target="../ctrlProps/ctrlProp108.xml"/><Relationship Id="rId95" Type="http://schemas.openxmlformats.org/officeDocument/2006/relationships/ctrlProp" Target="../ctrlProps/ctrlProp113.xml"/><Relationship Id="rId14" Type="http://schemas.openxmlformats.org/officeDocument/2006/relationships/ctrlProp" Target="../ctrlProps/ctrlProp32.xml"/><Relationship Id="rId22" Type="http://schemas.openxmlformats.org/officeDocument/2006/relationships/ctrlProp" Target="../ctrlProps/ctrlProp40.xml"/><Relationship Id="rId27" Type="http://schemas.openxmlformats.org/officeDocument/2006/relationships/ctrlProp" Target="../ctrlProps/ctrlProp45.xml"/><Relationship Id="rId30" Type="http://schemas.openxmlformats.org/officeDocument/2006/relationships/ctrlProp" Target="../ctrlProps/ctrlProp48.xml"/><Relationship Id="rId35" Type="http://schemas.openxmlformats.org/officeDocument/2006/relationships/ctrlProp" Target="../ctrlProps/ctrlProp53.xml"/><Relationship Id="rId43" Type="http://schemas.openxmlformats.org/officeDocument/2006/relationships/ctrlProp" Target="../ctrlProps/ctrlProp61.xml"/><Relationship Id="rId48" Type="http://schemas.openxmlformats.org/officeDocument/2006/relationships/ctrlProp" Target="../ctrlProps/ctrlProp66.xml"/><Relationship Id="rId56" Type="http://schemas.openxmlformats.org/officeDocument/2006/relationships/ctrlProp" Target="../ctrlProps/ctrlProp74.xml"/><Relationship Id="rId64" Type="http://schemas.openxmlformats.org/officeDocument/2006/relationships/ctrlProp" Target="../ctrlProps/ctrlProp82.xml"/><Relationship Id="rId69" Type="http://schemas.openxmlformats.org/officeDocument/2006/relationships/ctrlProp" Target="../ctrlProps/ctrlProp87.xml"/><Relationship Id="rId77" Type="http://schemas.openxmlformats.org/officeDocument/2006/relationships/ctrlProp" Target="../ctrlProps/ctrlProp95.xml"/><Relationship Id="rId100" Type="http://schemas.openxmlformats.org/officeDocument/2006/relationships/ctrlProp" Target="../ctrlProps/ctrlProp118.xml"/><Relationship Id="rId105" Type="http://schemas.openxmlformats.org/officeDocument/2006/relationships/ctrlProp" Target="../ctrlProps/ctrlProp123.xml"/><Relationship Id="rId113" Type="http://schemas.openxmlformats.org/officeDocument/2006/relationships/ctrlProp" Target="../ctrlProps/ctrlProp131.xml"/><Relationship Id="rId118" Type="http://schemas.openxmlformats.org/officeDocument/2006/relationships/ctrlProp" Target="../ctrlProps/ctrlProp136.xml"/><Relationship Id="rId126" Type="http://schemas.openxmlformats.org/officeDocument/2006/relationships/ctrlProp" Target="../ctrlProps/ctrlProp144.xml"/><Relationship Id="rId134" Type="http://schemas.openxmlformats.org/officeDocument/2006/relationships/ctrlProp" Target="../ctrlProps/ctrlProp152.xml"/><Relationship Id="rId8" Type="http://schemas.openxmlformats.org/officeDocument/2006/relationships/ctrlProp" Target="../ctrlProps/ctrlProp26.xml"/><Relationship Id="rId51" Type="http://schemas.openxmlformats.org/officeDocument/2006/relationships/ctrlProp" Target="../ctrlProps/ctrlProp69.xml"/><Relationship Id="rId72" Type="http://schemas.openxmlformats.org/officeDocument/2006/relationships/ctrlProp" Target="../ctrlProps/ctrlProp90.xml"/><Relationship Id="rId80" Type="http://schemas.openxmlformats.org/officeDocument/2006/relationships/ctrlProp" Target="../ctrlProps/ctrlProp98.xml"/><Relationship Id="rId85" Type="http://schemas.openxmlformats.org/officeDocument/2006/relationships/ctrlProp" Target="../ctrlProps/ctrlProp103.xml"/><Relationship Id="rId93" Type="http://schemas.openxmlformats.org/officeDocument/2006/relationships/ctrlProp" Target="../ctrlProps/ctrlProp111.xml"/><Relationship Id="rId98" Type="http://schemas.openxmlformats.org/officeDocument/2006/relationships/ctrlProp" Target="../ctrlProps/ctrlProp116.xml"/><Relationship Id="rId121" Type="http://schemas.openxmlformats.org/officeDocument/2006/relationships/ctrlProp" Target="../ctrlProps/ctrlProp139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5" Type="http://schemas.openxmlformats.org/officeDocument/2006/relationships/ctrlProp" Target="../ctrlProps/ctrlProp43.xml"/><Relationship Id="rId33" Type="http://schemas.openxmlformats.org/officeDocument/2006/relationships/ctrlProp" Target="../ctrlProps/ctrlProp51.xml"/><Relationship Id="rId38" Type="http://schemas.openxmlformats.org/officeDocument/2006/relationships/ctrlProp" Target="../ctrlProps/ctrlProp56.xml"/><Relationship Id="rId46" Type="http://schemas.openxmlformats.org/officeDocument/2006/relationships/ctrlProp" Target="../ctrlProps/ctrlProp64.xml"/><Relationship Id="rId59" Type="http://schemas.openxmlformats.org/officeDocument/2006/relationships/ctrlProp" Target="../ctrlProps/ctrlProp77.xml"/><Relationship Id="rId67" Type="http://schemas.openxmlformats.org/officeDocument/2006/relationships/ctrlProp" Target="../ctrlProps/ctrlProp85.xml"/><Relationship Id="rId103" Type="http://schemas.openxmlformats.org/officeDocument/2006/relationships/ctrlProp" Target="../ctrlProps/ctrlProp121.xml"/><Relationship Id="rId108" Type="http://schemas.openxmlformats.org/officeDocument/2006/relationships/ctrlProp" Target="../ctrlProps/ctrlProp126.xml"/><Relationship Id="rId116" Type="http://schemas.openxmlformats.org/officeDocument/2006/relationships/ctrlProp" Target="../ctrlProps/ctrlProp134.xml"/><Relationship Id="rId124" Type="http://schemas.openxmlformats.org/officeDocument/2006/relationships/ctrlProp" Target="../ctrlProps/ctrlProp142.xml"/><Relationship Id="rId129" Type="http://schemas.openxmlformats.org/officeDocument/2006/relationships/ctrlProp" Target="../ctrlProps/ctrlProp147.xml"/><Relationship Id="rId137" Type="http://schemas.openxmlformats.org/officeDocument/2006/relationships/ctrlProp" Target="../ctrlProps/ctrlProp155.xml"/><Relationship Id="rId20" Type="http://schemas.openxmlformats.org/officeDocument/2006/relationships/ctrlProp" Target="../ctrlProps/ctrlProp38.xml"/><Relationship Id="rId41" Type="http://schemas.openxmlformats.org/officeDocument/2006/relationships/ctrlProp" Target="../ctrlProps/ctrlProp59.xml"/><Relationship Id="rId54" Type="http://schemas.openxmlformats.org/officeDocument/2006/relationships/ctrlProp" Target="../ctrlProps/ctrlProp72.xml"/><Relationship Id="rId62" Type="http://schemas.openxmlformats.org/officeDocument/2006/relationships/ctrlProp" Target="../ctrlProps/ctrlProp80.xml"/><Relationship Id="rId70" Type="http://schemas.openxmlformats.org/officeDocument/2006/relationships/ctrlProp" Target="../ctrlProps/ctrlProp88.xml"/><Relationship Id="rId75" Type="http://schemas.openxmlformats.org/officeDocument/2006/relationships/ctrlProp" Target="../ctrlProps/ctrlProp93.xml"/><Relationship Id="rId83" Type="http://schemas.openxmlformats.org/officeDocument/2006/relationships/ctrlProp" Target="../ctrlProps/ctrlProp101.xml"/><Relationship Id="rId88" Type="http://schemas.openxmlformats.org/officeDocument/2006/relationships/ctrlProp" Target="../ctrlProps/ctrlProp106.xml"/><Relationship Id="rId91" Type="http://schemas.openxmlformats.org/officeDocument/2006/relationships/ctrlProp" Target="../ctrlProps/ctrlProp109.xml"/><Relationship Id="rId96" Type="http://schemas.openxmlformats.org/officeDocument/2006/relationships/ctrlProp" Target="../ctrlProps/ctrlProp114.xml"/><Relationship Id="rId111" Type="http://schemas.openxmlformats.org/officeDocument/2006/relationships/ctrlProp" Target="../ctrlProps/ctrlProp129.xml"/><Relationship Id="rId132" Type="http://schemas.openxmlformats.org/officeDocument/2006/relationships/ctrlProp" Target="../ctrlProps/ctrlProp15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4.xml"/><Relationship Id="rId15" Type="http://schemas.openxmlformats.org/officeDocument/2006/relationships/ctrlProp" Target="../ctrlProps/ctrlProp33.xml"/><Relationship Id="rId23" Type="http://schemas.openxmlformats.org/officeDocument/2006/relationships/ctrlProp" Target="../ctrlProps/ctrlProp41.xml"/><Relationship Id="rId28" Type="http://schemas.openxmlformats.org/officeDocument/2006/relationships/ctrlProp" Target="../ctrlProps/ctrlProp46.xml"/><Relationship Id="rId36" Type="http://schemas.openxmlformats.org/officeDocument/2006/relationships/ctrlProp" Target="../ctrlProps/ctrlProp54.xml"/><Relationship Id="rId49" Type="http://schemas.openxmlformats.org/officeDocument/2006/relationships/ctrlProp" Target="../ctrlProps/ctrlProp67.xml"/><Relationship Id="rId57" Type="http://schemas.openxmlformats.org/officeDocument/2006/relationships/ctrlProp" Target="../ctrlProps/ctrlProp75.xml"/><Relationship Id="rId106" Type="http://schemas.openxmlformats.org/officeDocument/2006/relationships/ctrlProp" Target="../ctrlProps/ctrlProp124.xml"/><Relationship Id="rId114" Type="http://schemas.openxmlformats.org/officeDocument/2006/relationships/ctrlProp" Target="../ctrlProps/ctrlProp132.xml"/><Relationship Id="rId119" Type="http://schemas.openxmlformats.org/officeDocument/2006/relationships/ctrlProp" Target="../ctrlProps/ctrlProp137.xml"/><Relationship Id="rId127" Type="http://schemas.openxmlformats.org/officeDocument/2006/relationships/ctrlProp" Target="../ctrlProps/ctrlProp145.xml"/><Relationship Id="rId10" Type="http://schemas.openxmlformats.org/officeDocument/2006/relationships/ctrlProp" Target="../ctrlProps/ctrlProp28.xml"/><Relationship Id="rId31" Type="http://schemas.openxmlformats.org/officeDocument/2006/relationships/ctrlProp" Target="../ctrlProps/ctrlProp49.xml"/><Relationship Id="rId44" Type="http://schemas.openxmlformats.org/officeDocument/2006/relationships/ctrlProp" Target="../ctrlProps/ctrlProp62.xml"/><Relationship Id="rId52" Type="http://schemas.openxmlformats.org/officeDocument/2006/relationships/ctrlProp" Target="../ctrlProps/ctrlProp70.xml"/><Relationship Id="rId60" Type="http://schemas.openxmlformats.org/officeDocument/2006/relationships/ctrlProp" Target="../ctrlProps/ctrlProp78.xml"/><Relationship Id="rId65" Type="http://schemas.openxmlformats.org/officeDocument/2006/relationships/ctrlProp" Target="../ctrlProps/ctrlProp83.xml"/><Relationship Id="rId73" Type="http://schemas.openxmlformats.org/officeDocument/2006/relationships/ctrlProp" Target="../ctrlProps/ctrlProp91.xml"/><Relationship Id="rId78" Type="http://schemas.openxmlformats.org/officeDocument/2006/relationships/ctrlProp" Target="../ctrlProps/ctrlProp96.xml"/><Relationship Id="rId81" Type="http://schemas.openxmlformats.org/officeDocument/2006/relationships/ctrlProp" Target="../ctrlProps/ctrlProp99.xml"/><Relationship Id="rId86" Type="http://schemas.openxmlformats.org/officeDocument/2006/relationships/ctrlProp" Target="../ctrlProps/ctrlProp104.xml"/><Relationship Id="rId94" Type="http://schemas.openxmlformats.org/officeDocument/2006/relationships/ctrlProp" Target="../ctrlProps/ctrlProp112.xml"/><Relationship Id="rId99" Type="http://schemas.openxmlformats.org/officeDocument/2006/relationships/ctrlProp" Target="../ctrlProps/ctrlProp117.xml"/><Relationship Id="rId101" Type="http://schemas.openxmlformats.org/officeDocument/2006/relationships/ctrlProp" Target="../ctrlProps/ctrlProp119.xml"/><Relationship Id="rId122" Type="http://schemas.openxmlformats.org/officeDocument/2006/relationships/ctrlProp" Target="../ctrlProps/ctrlProp140.xml"/><Relationship Id="rId130" Type="http://schemas.openxmlformats.org/officeDocument/2006/relationships/ctrlProp" Target="../ctrlProps/ctrlProp148.xml"/><Relationship Id="rId135" Type="http://schemas.openxmlformats.org/officeDocument/2006/relationships/ctrlProp" Target="../ctrlProps/ctrlProp153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3" Type="http://schemas.openxmlformats.org/officeDocument/2006/relationships/ctrlProp" Target="../ctrlProps/ctrlProp31.xml"/><Relationship Id="rId18" Type="http://schemas.openxmlformats.org/officeDocument/2006/relationships/ctrlProp" Target="../ctrlProps/ctrlProp36.xml"/><Relationship Id="rId39" Type="http://schemas.openxmlformats.org/officeDocument/2006/relationships/ctrlProp" Target="../ctrlProps/ctrlProp57.xml"/><Relationship Id="rId109" Type="http://schemas.openxmlformats.org/officeDocument/2006/relationships/ctrlProp" Target="../ctrlProps/ctrlProp127.xml"/><Relationship Id="rId34" Type="http://schemas.openxmlformats.org/officeDocument/2006/relationships/ctrlProp" Target="../ctrlProps/ctrlProp52.xml"/><Relationship Id="rId50" Type="http://schemas.openxmlformats.org/officeDocument/2006/relationships/ctrlProp" Target="../ctrlProps/ctrlProp68.xml"/><Relationship Id="rId55" Type="http://schemas.openxmlformats.org/officeDocument/2006/relationships/ctrlProp" Target="../ctrlProps/ctrlProp73.xml"/><Relationship Id="rId76" Type="http://schemas.openxmlformats.org/officeDocument/2006/relationships/ctrlProp" Target="../ctrlProps/ctrlProp94.xml"/><Relationship Id="rId97" Type="http://schemas.openxmlformats.org/officeDocument/2006/relationships/ctrlProp" Target="../ctrlProps/ctrlProp115.xml"/><Relationship Id="rId104" Type="http://schemas.openxmlformats.org/officeDocument/2006/relationships/ctrlProp" Target="../ctrlProps/ctrlProp122.xml"/><Relationship Id="rId120" Type="http://schemas.openxmlformats.org/officeDocument/2006/relationships/ctrlProp" Target="../ctrlProps/ctrlProp138.xml"/><Relationship Id="rId125" Type="http://schemas.openxmlformats.org/officeDocument/2006/relationships/ctrlProp" Target="../ctrlProps/ctrlProp143.xml"/><Relationship Id="rId7" Type="http://schemas.openxmlformats.org/officeDocument/2006/relationships/ctrlProp" Target="../ctrlProps/ctrlProp25.xml"/><Relationship Id="rId71" Type="http://schemas.openxmlformats.org/officeDocument/2006/relationships/ctrlProp" Target="../ctrlProps/ctrlProp89.xml"/><Relationship Id="rId92" Type="http://schemas.openxmlformats.org/officeDocument/2006/relationships/ctrlProp" Target="../ctrlProps/ctrlProp110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47.xml"/><Relationship Id="rId24" Type="http://schemas.openxmlformats.org/officeDocument/2006/relationships/ctrlProp" Target="../ctrlProps/ctrlProp42.xml"/><Relationship Id="rId40" Type="http://schemas.openxmlformats.org/officeDocument/2006/relationships/ctrlProp" Target="../ctrlProps/ctrlProp58.xml"/><Relationship Id="rId45" Type="http://schemas.openxmlformats.org/officeDocument/2006/relationships/ctrlProp" Target="../ctrlProps/ctrlProp63.xml"/><Relationship Id="rId66" Type="http://schemas.openxmlformats.org/officeDocument/2006/relationships/ctrlProp" Target="../ctrlProps/ctrlProp84.xml"/><Relationship Id="rId87" Type="http://schemas.openxmlformats.org/officeDocument/2006/relationships/ctrlProp" Target="../ctrlProps/ctrlProp105.xml"/><Relationship Id="rId110" Type="http://schemas.openxmlformats.org/officeDocument/2006/relationships/ctrlProp" Target="../ctrlProps/ctrlProp128.xml"/><Relationship Id="rId115" Type="http://schemas.openxmlformats.org/officeDocument/2006/relationships/ctrlProp" Target="../ctrlProps/ctrlProp133.xml"/><Relationship Id="rId131" Type="http://schemas.openxmlformats.org/officeDocument/2006/relationships/ctrlProp" Target="../ctrlProps/ctrlProp149.xml"/><Relationship Id="rId136" Type="http://schemas.openxmlformats.org/officeDocument/2006/relationships/ctrlProp" Target="../ctrlProps/ctrlProp154.xml"/><Relationship Id="rId61" Type="http://schemas.openxmlformats.org/officeDocument/2006/relationships/ctrlProp" Target="../ctrlProps/ctrlProp79.xml"/><Relationship Id="rId82" Type="http://schemas.openxmlformats.org/officeDocument/2006/relationships/ctrlProp" Target="../ctrlProps/ctrlProp100.xml"/><Relationship Id="rId19" Type="http://schemas.openxmlformats.org/officeDocument/2006/relationships/ctrlProp" Target="../ctrlProps/ctrlProp37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66.xml"/><Relationship Id="rId18" Type="http://schemas.openxmlformats.org/officeDocument/2006/relationships/ctrlProp" Target="../ctrlProps/ctrlProp171.xml"/><Relationship Id="rId26" Type="http://schemas.openxmlformats.org/officeDocument/2006/relationships/ctrlProp" Target="../ctrlProps/ctrlProp179.xml"/><Relationship Id="rId39" Type="http://schemas.openxmlformats.org/officeDocument/2006/relationships/ctrlProp" Target="../ctrlProps/ctrlProp192.xml"/><Relationship Id="rId21" Type="http://schemas.openxmlformats.org/officeDocument/2006/relationships/ctrlProp" Target="../ctrlProps/ctrlProp174.xml"/><Relationship Id="rId34" Type="http://schemas.openxmlformats.org/officeDocument/2006/relationships/ctrlProp" Target="../ctrlProps/ctrlProp187.xml"/><Relationship Id="rId42" Type="http://schemas.openxmlformats.org/officeDocument/2006/relationships/ctrlProp" Target="../ctrlProps/ctrlProp195.xml"/><Relationship Id="rId47" Type="http://schemas.openxmlformats.org/officeDocument/2006/relationships/ctrlProp" Target="../ctrlProps/ctrlProp200.xml"/><Relationship Id="rId50" Type="http://schemas.openxmlformats.org/officeDocument/2006/relationships/ctrlProp" Target="../ctrlProps/ctrlProp203.xml"/><Relationship Id="rId55" Type="http://schemas.openxmlformats.org/officeDocument/2006/relationships/ctrlProp" Target="../ctrlProps/ctrlProp208.xml"/><Relationship Id="rId63" Type="http://schemas.openxmlformats.org/officeDocument/2006/relationships/ctrlProp" Target="../ctrlProps/ctrlProp216.xml"/><Relationship Id="rId68" Type="http://schemas.openxmlformats.org/officeDocument/2006/relationships/ctrlProp" Target="../ctrlProps/ctrlProp221.xml"/><Relationship Id="rId76" Type="http://schemas.openxmlformats.org/officeDocument/2006/relationships/ctrlProp" Target="../ctrlProps/ctrlProp229.xml"/><Relationship Id="rId84" Type="http://schemas.openxmlformats.org/officeDocument/2006/relationships/ctrlProp" Target="../ctrlProps/ctrlProp237.xml"/><Relationship Id="rId89" Type="http://schemas.openxmlformats.org/officeDocument/2006/relationships/ctrlProp" Target="../ctrlProps/ctrlProp242.xml"/><Relationship Id="rId7" Type="http://schemas.openxmlformats.org/officeDocument/2006/relationships/ctrlProp" Target="../ctrlProps/ctrlProp160.xml"/><Relationship Id="rId71" Type="http://schemas.openxmlformats.org/officeDocument/2006/relationships/ctrlProp" Target="../ctrlProps/ctrlProp224.xml"/><Relationship Id="rId92" Type="http://schemas.openxmlformats.org/officeDocument/2006/relationships/ctrlProp" Target="../ctrlProps/ctrlProp24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69.xml"/><Relationship Id="rId29" Type="http://schemas.openxmlformats.org/officeDocument/2006/relationships/ctrlProp" Target="../ctrlProps/ctrlProp182.xml"/><Relationship Id="rId11" Type="http://schemas.openxmlformats.org/officeDocument/2006/relationships/ctrlProp" Target="../ctrlProps/ctrlProp164.xml"/><Relationship Id="rId24" Type="http://schemas.openxmlformats.org/officeDocument/2006/relationships/ctrlProp" Target="../ctrlProps/ctrlProp177.xml"/><Relationship Id="rId32" Type="http://schemas.openxmlformats.org/officeDocument/2006/relationships/ctrlProp" Target="../ctrlProps/ctrlProp185.xml"/><Relationship Id="rId37" Type="http://schemas.openxmlformats.org/officeDocument/2006/relationships/ctrlProp" Target="../ctrlProps/ctrlProp190.xml"/><Relationship Id="rId40" Type="http://schemas.openxmlformats.org/officeDocument/2006/relationships/ctrlProp" Target="../ctrlProps/ctrlProp193.xml"/><Relationship Id="rId45" Type="http://schemas.openxmlformats.org/officeDocument/2006/relationships/ctrlProp" Target="../ctrlProps/ctrlProp198.xml"/><Relationship Id="rId53" Type="http://schemas.openxmlformats.org/officeDocument/2006/relationships/ctrlProp" Target="../ctrlProps/ctrlProp206.xml"/><Relationship Id="rId58" Type="http://schemas.openxmlformats.org/officeDocument/2006/relationships/ctrlProp" Target="../ctrlProps/ctrlProp211.xml"/><Relationship Id="rId66" Type="http://schemas.openxmlformats.org/officeDocument/2006/relationships/ctrlProp" Target="../ctrlProps/ctrlProp219.xml"/><Relationship Id="rId74" Type="http://schemas.openxmlformats.org/officeDocument/2006/relationships/ctrlProp" Target="../ctrlProps/ctrlProp227.xml"/><Relationship Id="rId79" Type="http://schemas.openxmlformats.org/officeDocument/2006/relationships/ctrlProp" Target="../ctrlProps/ctrlProp232.xml"/><Relationship Id="rId87" Type="http://schemas.openxmlformats.org/officeDocument/2006/relationships/ctrlProp" Target="../ctrlProps/ctrlProp240.xml"/><Relationship Id="rId5" Type="http://schemas.openxmlformats.org/officeDocument/2006/relationships/ctrlProp" Target="../ctrlProps/ctrlProp158.xml"/><Relationship Id="rId61" Type="http://schemas.openxmlformats.org/officeDocument/2006/relationships/ctrlProp" Target="../ctrlProps/ctrlProp214.xml"/><Relationship Id="rId82" Type="http://schemas.openxmlformats.org/officeDocument/2006/relationships/ctrlProp" Target="../ctrlProps/ctrlProp235.xml"/><Relationship Id="rId90" Type="http://schemas.openxmlformats.org/officeDocument/2006/relationships/ctrlProp" Target="../ctrlProps/ctrlProp243.xml"/><Relationship Id="rId95" Type="http://schemas.openxmlformats.org/officeDocument/2006/relationships/ctrlProp" Target="../ctrlProps/ctrlProp248.xml"/><Relationship Id="rId19" Type="http://schemas.openxmlformats.org/officeDocument/2006/relationships/ctrlProp" Target="../ctrlProps/ctrlProp172.xml"/><Relationship Id="rId14" Type="http://schemas.openxmlformats.org/officeDocument/2006/relationships/ctrlProp" Target="../ctrlProps/ctrlProp167.xml"/><Relationship Id="rId22" Type="http://schemas.openxmlformats.org/officeDocument/2006/relationships/ctrlProp" Target="../ctrlProps/ctrlProp175.xml"/><Relationship Id="rId27" Type="http://schemas.openxmlformats.org/officeDocument/2006/relationships/ctrlProp" Target="../ctrlProps/ctrlProp180.xml"/><Relationship Id="rId30" Type="http://schemas.openxmlformats.org/officeDocument/2006/relationships/ctrlProp" Target="../ctrlProps/ctrlProp183.xml"/><Relationship Id="rId35" Type="http://schemas.openxmlformats.org/officeDocument/2006/relationships/ctrlProp" Target="../ctrlProps/ctrlProp188.xml"/><Relationship Id="rId43" Type="http://schemas.openxmlformats.org/officeDocument/2006/relationships/ctrlProp" Target="../ctrlProps/ctrlProp196.xml"/><Relationship Id="rId48" Type="http://schemas.openxmlformats.org/officeDocument/2006/relationships/ctrlProp" Target="../ctrlProps/ctrlProp201.xml"/><Relationship Id="rId56" Type="http://schemas.openxmlformats.org/officeDocument/2006/relationships/ctrlProp" Target="../ctrlProps/ctrlProp209.xml"/><Relationship Id="rId64" Type="http://schemas.openxmlformats.org/officeDocument/2006/relationships/ctrlProp" Target="../ctrlProps/ctrlProp217.xml"/><Relationship Id="rId69" Type="http://schemas.openxmlformats.org/officeDocument/2006/relationships/ctrlProp" Target="../ctrlProps/ctrlProp222.xml"/><Relationship Id="rId77" Type="http://schemas.openxmlformats.org/officeDocument/2006/relationships/ctrlProp" Target="../ctrlProps/ctrlProp230.xml"/><Relationship Id="rId8" Type="http://schemas.openxmlformats.org/officeDocument/2006/relationships/ctrlProp" Target="../ctrlProps/ctrlProp161.xml"/><Relationship Id="rId51" Type="http://schemas.openxmlformats.org/officeDocument/2006/relationships/ctrlProp" Target="../ctrlProps/ctrlProp204.xml"/><Relationship Id="rId72" Type="http://schemas.openxmlformats.org/officeDocument/2006/relationships/ctrlProp" Target="../ctrlProps/ctrlProp225.xml"/><Relationship Id="rId80" Type="http://schemas.openxmlformats.org/officeDocument/2006/relationships/ctrlProp" Target="../ctrlProps/ctrlProp233.xml"/><Relationship Id="rId85" Type="http://schemas.openxmlformats.org/officeDocument/2006/relationships/ctrlProp" Target="../ctrlProps/ctrlProp238.xml"/><Relationship Id="rId93" Type="http://schemas.openxmlformats.org/officeDocument/2006/relationships/ctrlProp" Target="../ctrlProps/ctrlProp246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65.xml"/><Relationship Id="rId17" Type="http://schemas.openxmlformats.org/officeDocument/2006/relationships/ctrlProp" Target="../ctrlProps/ctrlProp170.xml"/><Relationship Id="rId25" Type="http://schemas.openxmlformats.org/officeDocument/2006/relationships/ctrlProp" Target="../ctrlProps/ctrlProp178.xml"/><Relationship Id="rId33" Type="http://schemas.openxmlformats.org/officeDocument/2006/relationships/ctrlProp" Target="../ctrlProps/ctrlProp186.xml"/><Relationship Id="rId38" Type="http://schemas.openxmlformats.org/officeDocument/2006/relationships/ctrlProp" Target="../ctrlProps/ctrlProp191.xml"/><Relationship Id="rId46" Type="http://schemas.openxmlformats.org/officeDocument/2006/relationships/ctrlProp" Target="../ctrlProps/ctrlProp199.xml"/><Relationship Id="rId59" Type="http://schemas.openxmlformats.org/officeDocument/2006/relationships/ctrlProp" Target="../ctrlProps/ctrlProp212.xml"/><Relationship Id="rId67" Type="http://schemas.openxmlformats.org/officeDocument/2006/relationships/ctrlProp" Target="../ctrlProps/ctrlProp220.xml"/><Relationship Id="rId20" Type="http://schemas.openxmlformats.org/officeDocument/2006/relationships/ctrlProp" Target="../ctrlProps/ctrlProp173.xml"/><Relationship Id="rId41" Type="http://schemas.openxmlformats.org/officeDocument/2006/relationships/ctrlProp" Target="../ctrlProps/ctrlProp194.xml"/><Relationship Id="rId54" Type="http://schemas.openxmlformats.org/officeDocument/2006/relationships/ctrlProp" Target="../ctrlProps/ctrlProp207.xml"/><Relationship Id="rId62" Type="http://schemas.openxmlformats.org/officeDocument/2006/relationships/ctrlProp" Target="../ctrlProps/ctrlProp215.xml"/><Relationship Id="rId70" Type="http://schemas.openxmlformats.org/officeDocument/2006/relationships/ctrlProp" Target="../ctrlProps/ctrlProp223.xml"/><Relationship Id="rId75" Type="http://schemas.openxmlformats.org/officeDocument/2006/relationships/ctrlProp" Target="../ctrlProps/ctrlProp228.xml"/><Relationship Id="rId83" Type="http://schemas.openxmlformats.org/officeDocument/2006/relationships/ctrlProp" Target="../ctrlProps/ctrlProp236.xml"/><Relationship Id="rId88" Type="http://schemas.openxmlformats.org/officeDocument/2006/relationships/ctrlProp" Target="../ctrlProps/ctrlProp241.xml"/><Relationship Id="rId91" Type="http://schemas.openxmlformats.org/officeDocument/2006/relationships/ctrlProp" Target="../ctrlProps/ctrlProp244.xml"/><Relationship Id="rId96" Type="http://schemas.openxmlformats.org/officeDocument/2006/relationships/ctrlProp" Target="../ctrlProps/ctrlProp24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59.xml"/><Relationship Id="rId15" Type="http://schemas.openxmlformats.org/officeDocument/2006/relationships/ctrlProp" Target="../ctrlProps/ctrlProp168.xml"/><Relationship Id="rId23" Type="http://schemas.openxmlformats.org/officeDocument/2006/relationships/ctrlProp" Target="../ctrlProps/ctrlProp176.xml"/><Relationship Id="rId28" Type="http://schemas.openxmlformats.org/officeDocument/2006/relationships/ctrlProp" Target="../ctrlProps/ctrlProp181.xml"/><Relationship Id="rId36" Type="http://schemas.openxmlformats.org/officeDocument/2006/relationships/ctrlProp" Target="../ctrlProps/ctrlProp189.xml"/><Relationship Id="rId49" Type="http://schemas.openxmlformats.org/officeDocument/2006/relationships/ctrlProp" Target="../ctrlProps/ctrlProp202.xml"/><Relationship Id="rId57" Type="http://schemas.openxmlformats.org/officeDocument/2006/relationships/ctrlProp" Target="../ctrlProps/ctrlProp210.xml"/><Relationship Id="rId10" Type="http://schemas.openxmlformats.org/officeDocument/2006/relationships/ctrlProp" Target="../ctrlProps/ctrlProp163.xml"/><Relationship Id="rId31" Type="http://schemas.openxmlformats.org/officeDocument/2006/relationships/ctrlProp" Target="../ctrlProps/ctrlProp184.xml"/><Relationship Id="rId44" Type="http://schemas.openxmlformats.org/officeDocument/2006/relationships/ctrlProp" Target="../ctrlProps/ctrlProp197.xml"/><Relationship Id="rId52" Type="http://schemas.openxmlformats.org/officeDocument/2006/relationships/ctrlProp" Target="../ctrlProps/ctrlProp205.xml"/><Relationship Id="rId60" Type="http://schemas.openxmlformats.org/officeDocument/2006/relationships/ctrlProp" Target="../ctrlProps/ctrlProp213.xml"/><Relationship Id="rId65" Type="http://schemas.openxmlformats.org/officeDocument/2006/relationships/ctrlProp" Target="../ctrlProps/ctrlProp218.xml"/><Relationship Id="rId73" Type="http://schemas.openxmlformats.org/officeDocument/2006/relationships/ctrlProp" Target="../ctrlProps/ctrlProp226.xml"/><Relationship Id="rId78" Type="http://schemas.openxmlformats.org/officeDocument/2006/relationships/ctrlProp" Target="../ctrlProps/ctrlProp231.xml"/><Relationship Id="rId81" Type="http://schemas.openxmlformats.org/officeDocument/2006/relationships/ctrlProp" Target="../ctrlProps/ctrlProp234.xml"/><Relationship Id="rId86" Type="http://schemas.openxmlformats.org/officeDocument/2006/relationships/ctrlProp" Target="../ctrlProps/ctrlProp239.xml"/><Relationship Id="rId94" Type="http://schemas.openxmlformats.org/officeDocument/2006/relationships/ctrlProp" Target="../ctrlProps/ctrlProp247.xml"/><Relationship Id="rId4" Type="http://schemas.openxmlformats.org/officeDocument/2006/relationships/ctrlProp" Target="../ctrlProps/ctrlProp157.xml"/><Relationship Id="rId9" Type="http://schemas.openxmlformats.org/officeDocument/2006/relationships/ctrlProp" Target="../ctrlProps/ctrlProp16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3FCDFF"/>
    <pageSetUpPr fitToPage="1"/>
  </sheetPr>
  <dimension ref="A1:V132"/>
  <sheetViews>
    <sheetView showGridLines="0" tabSelected="1" zoomScaleNormal="100" workbookViewId="0">
      <selection activeCell="G8" sqref="G8:L8"/>
    </sheetView>
  </sheetViews>
  <sheetFormatPr defaultColWidth="8.85546875" defaultRowHeight="15" x14ac:dyDescent="0.25"/>
  <cols>
    <col min="1" max="1" width="3.140625" customWidth="1"/>
    <col min="2" max="2" width="21.5703125" customWidth="1"/>
    <col min="3" max="3" width="3.5703125" customWidth="1"/>
    <col min="4" max="4" width="24" customWidth="1"/>
    <col min="5" max="5" width="4" customWidth="1"/>
    <col min="6" max="6" width="5" customWidth="1"/>
    <col min="7" max="7" width="32.140625" customWidth="1"/>
    <col min="8" max="8" width="4.5703125" customWidth="1"/>
    <col min="9" max="9" width="6.5703125" customWidth="1"/>
    <col min="10" max="10" width="25.7109375" customWidth="1"/>
    <col min="11" max="11" width="9.7109375" customWidth="1"/>
    <col min="12" max="12" width="12.85546875" customWidth="1"/>
    <col min="13" max="13" width="4" customWidth="1"/>
    <col min="14" max="14" width="9.85546875" customWidth="1"/>
    <col min="15" max="15" width="2.85546875" customWidth="1"/>
    <col min="16" max="20" width="8.85546875" customWidth="1"/>
    <col min="21" max="21" width="10.140625" customWidth="1"/>
    <col min="22" max="22" width="11.28515625" customWidth="1"/>
    <col min="23" max="23" width="6.28515625" customWidth="1"/>
  </cols>
  <sheetData>
    <row r="1" spans="2:15" ht="6" customHeight="1" thickBot="1" x14ac:dyDescent="0.3"/>
    <row r="2" spans="2:15" ht="31.5" x14ac:dyDescent="0.5">
      <c r="B2" s="473"/>
      <c r="C2" s="474"/>
      <c r="D2" s="474"/>
      <c r="E2" s="474"/>
      <c r="F2" s="475"/>
      <c r="G2" s="476"/>
      <c r="H2" s="476"/>
      <c r="I2" s="476"/>
      <c r="J2" s="476"/>
      <c r="K2" s="476"/>
      <c r="L2" s="476"/>
      <c r="M2" s="474"/>
      <c r="N2" s="516"/>
      <c r="O2" s="79"/>
    </row>
    <row r="3" spans="2:15" ht="26.25" customHeight="1" x14ac:dyDescent="0.25">
      <c r="B3" s="479"/>
      <c r="C3" s="296"/>
      <c r="D3" s="296"/>
      <c r="E3" s="296"/>
      <c r="F3" s="297"/>
      <c r="G3" s="297"/>
      <c r="H3" s="297"/>
      <c r="I3" s="297"/>
      <c r="J3" s="297"/>
      <c r="K3" s="297"/>
      <c r="L3" s="296"/>
      <c r="M3" s="296"/>
      <c r="N3" s="517"/>
      <c r="O3" s="79"/>
    </row>
    <row r="4" spans="2:15" ht="31.15" customHeight="1" thickBot="1" x14ac:dyDescent="0.3">
      <c r="B4" s="479"/>
      <c r="C4" s="296"/>
      <c r="D4" s="296"/>
      <c r="E4" s="296"/>
      <c r="F4" s="297"/>
      <c r="G4" s="297"/>
      <c r="H4" s="297"/>
      <c r="I4" s="297"/>
      <c r="J4" s="297"/>
      <c r="K4" s="297"/>
      <c r="L4" s="297"/>
      <c r="M4" s="296"/>
      <c r="N4" s="517"/>
      <c r="O4" s="79"/>
    </row>
    <row r="5" spans="2:15" ht="38.450000000000003" customHeight="1" x14ac:dyDescent="0.55000000000000004">
      <c r="B5" s="562"/>
      <c r="C5" s="563"/>
      <c r="D5" s="563"/>
      <c r="E5" s="563"/>
      <c r="F5" s="571"/>
      <c r="G5" s="571"/>
      <c r="H5" s="571"/>
      <c r="I5" s="571"/>
      <c r="J5" s="571"/>
      <c r="K5" s="571"/>
      <c r="L5" s="571"/>
      <c r="M5" s="563"/>
      <c r="N5" s="564"/>
      <c r="O5" s="79"/>
    </row>
    <row r="6" spans="2:15" ht="24.75" customHeight="1" x14ac:dyDescent="0.35">
      <c r="B6" s="569" t="s">
        <v>288</v>
      </c>
      <c r="C6" s="570"/>
      <c r="D6" s="570"/>
      <c r="E6" s="570"/>
      <c r="F6" s="570"/>
      <c r="G6" s="570"/>
      <c r="H6" s="570"/>
      <c r="I6" s="570"/>
      <c r="J6" s="570"/>
      <c r="K6" s="570"/>
      <c r="L6" s="570"/>
      <c r="M6" s="518"/>
      <c r="N6" s="519"/>
      <c r="O6" s="5"/>
    </row>
    <row r="7" spans="2:15" ht="6" customHeight="1" thickBot="1" x14ac:dyDescent="0.35">
      <c r="B7" s="142"/>
      <c r="C7" s="1"/>
      <c r="D7" s="1"/>
      <c r="E7" s="1"/>
      <c r="F7" s="520"/>
      <c r="G7" s="520"/>
      <c r="H7" s="520"/>
      <c r="I7" s="520"/>
      <c r="J7" s="520"/>
      <c r="K7" s="520"/>
      <c r="L7" s="520"/>
      <c r="M7" s="520"/>
      <c r="N7" s="521"/>
      <c r="O7" s="4"/>
    </row>
    <row r="8" spans="2:15" ht="24" customHeight="1" thickBot="1" x14ac:dyDescent="0.4">
      <c r="B8" s="142"/>
      <c r="C8" s="330"/>
      <c r="D8" s="597" t="s">
        <v>244</v>
      </c>
      <c r="E8" s="581"/>
      <c r="F8" s="1"/>
      <c r="G8" s="599"/>
      <c r="H8" s="600"/>
      <c r="I8" s="601"/>
      <c r="J8" s="601"/>
      <c r="K8" s="601"/>
      <c r="L8" s="602"/>
      <c r="M8" s="520"/>
      <c r="N8" s="521"/>
      <c r="O8" s="4"/>
    </row>
    <row r="9" spans="2:15" ht="6" customHeight="1" thickBot="1" x14ac:dyDescent="0.4">
      <c r="B9" s="142"/>
      <c r="C9" s="330"/>
      <c r="D9" s="522"/>
      <c r="E9" s="1"/>
      <c r="F9" s="1"/>
      <c r="G9" s="523"/>
      <c r="H9" s="523"/>
      <c r="I9" s="523"/>
      <c r="J9" s="523"/>
      <c r="K9" s="523"/>
      <c r="L9" s="523"/>
      <c r="M9" s="520"/>
      <c r="N9" s="521"/>
      <c r="O9" s="4"/>
    </row>
    <row r="10" spans="2:15" ht="24" customHeight="1" thickBot="1" x14ac:dyDescent="0.4">
      <c r="B10" s="142"/>
      <c r="C10" s="330"/>
      <c r="D10" s="581" t="s">
        <v>46</v>
      </c>
      <c r="E10" s="581"/>
      <c r="F10" s="1"/>
      <c r="G10" s="599"/>
      <c r="H10" s="600"/>
      <c r="I10" s="601"/>
      <c r="J10" s="601"/>
      <c r="K10" s="601"/>
      <c r="L10" s="602"/>
      <c r="M10" s="520"/>
      <c r="N10" s="521"/>
      <c r="O10" s="4"/>
    </row>
    <row r="11" spans="2:15" ht="6" customHeight="1" thickBot="1" x14ac:dyDescent="0.4">
      <c r="B11" s="142"/>
      <c r="C11" s="330"/>
      <c r="D11" s="522"/>
      <c r="E11" s="1"/>
      <c r="F11" s="1"/>
      <c r="G11" s="523"/>
      <c r="H11" s="523"/>
      <c r="I11" s="523"/>
      <c r="J11" s="523"/>
      <c r="K11" s="523"/>
      <c r="L11" s="523"/>
      <c r="M11" s="520"/>
      <c r="N11" s="521"/>
      <c r="O11" s="4"/>
    </row>
    <row r="12" spans="2:15" ht="24" customHeight="1" thickBot="1" x14ac:dyDescent="0.4">
      <c r="B12" s="142"/>
      <c r="C12" s="330"/>
      <c r="D12" s="581" t="s">
        <v>47</v>
      </c>
      <c r="E12" s="581"/>
      <c r="F12" s="1"/>
      <c r="G12" s="350"/>
      <c r="H12" s="178"/>
      <c r="I12" s="176" t="s">
        <v>135</v>
      </c>
      <c r="J12" s="349"/>
      <c r="K12" s="177" t="s">
        <v>136</v>
      </c>
      <c r="L12" s="349"/>
      <c r="M12" s="520"/>
      <c r="N12" s="521"/>
      <c r="O12" s="4"/>
    </row>
    <row r="13" spans="2:15" ht="6" customHeight="1" thickBot="1" x14ac:dyDescent="0.4">
      <c r="B13" s="142"/>
      <c r="C13" s="330"/>
      <c r="D13" s="522"/>
      <c r="E13" s="1"/>
      <c r="F13" s="1"/>
      <c r="G13" s="523"/>
      <c r="H13" s="523"/>
      <c r="I13" s="523"/>
      <c r="J13" s="523"/>
      <c r="K13" s="524"/>
      <c r="L13" s="523"/>
      <c r="M13" s="520"/>
      <c r="N13" s="521"/>
      <c r="O13" s="4"/>
    </row>
    <row r="14" spans="2:15" ht="24" customHeight="1" thickBot="1" x14ac:dyDescent="0.4">
      <c r="B14" s="142"/>
      <c r="C14" s="330"/>
      <c r="D14" s="581" t="s">
        <v>48</v>
      </c>
      <c r="E14" s="581"/>
      <c r="F14" s="1"/>
      <c r="G14" s="599"/>
      <c r="H14" s="600"/>
      <c r="I14" s="601"/>
      <c r="J14" s="601"/>
      <c r="K14" s="601"/>
      <c r="L14" s="602"/>
      <c r="M14" s="520"/>
      <c r="N14" s="521"/>
      <c r="O14" s="4"/>
    </row>
    <row r="15" spans="2:15" ht="6" customHeight="1" thickBot="1" x14ac:dyDescent="0.4">
      <c r="B15" s="142"/>
      <c r="C15" s="330"/>
      <c r="D15" s="522"/>
      <c r="E15" s="1"/>
      <c r="F15" s="1"/>
      <c r="G15" s="525"/>
      <c r="H15" s="525"/>
      <c r="I15" s="525"/>
      <c r="J15" s="525"/>
      <c r="K15" s="525"/>
      <c r="L15" s="525"/>
      <c r="M15" s="520"/>
      <c r="N15" s="521"/>
      <c r="O15" s="4"/>
    </row>
    <row r="16" spans="2:15" ht="24" customHeight="1" thickBot="1" x14ac:dyDescent="0.4">
      <c r="B16" s="142"/>
      <c r="C16" s="330"/>
      <c r="D16" s="581" t="s">
        <v>49</v>
      </c>
      <c r="E16" s="581"/>
      <c r="F16" s="1"/>
      <c r="G16" s="599"/>
      <c r="H16" s="600"/>
      <c r="I16" s="601"/>
      <c r="J16" s="601"/>
      <c r="K16" s="601"/>
      <c r="L16" s="602"/>
      <c r="M16" s="520"/>
      <c r="N16" s="521"/>
      <c r="O16" s="4"/>
    </row>
    <row r="17" spans="1:22" ht="5.25" customHeight="1" thickBot="1" x14ac:dyDescent="0.35">
      <c r="B17" s="142"/>
      <c r="C17" s="330"/>
      <c r="D17" s="526"/>
      <c r="E17" s="1"/>
      <c r="F17" s="1"/>
      <c r="G17" s="527"/>
      <c r="H17" s="527"/>
      <c r="I17" s="527"/>
      <c r="J17" s="527"/>
      <c r="K17" s="527"/>
      <c r="L17" s="527"/>
      <c r="M17" s="520"/>
      <c r="N17" s="521"/>
      <c r="O17" s="4"/>
    </row>
    <row r="18" spans="1:22" ht="23.25" customHeight="1" thickBot="1" x14ac:dyDescent="0.4">
      <c r="B18" s="142"/>
      <c r="C18" s="330"/>
      <c r="D18" s="598" t="s">
        <v>139</v>
      </c>
      <c r="E18" s="598"/>
      <c r="F18" s="1"/>
      <c r="G18" s="606"/>
      <c r="H18" s="607"/>
      <c r="I18" s="607"/>
      <c r="J18" s="608"/>
      <c r="K18" s="528" t="s">
        <v>158</v>
      </c>
      <c r="L18" s="349"/>
      <c r="M18" s="520"/>
      <c r="N18" s="521"/>
      <c r="O18" s="4"/>
    </row>
    <row r="19" spans="1:22" ht="5.25" customHeight="1" thickBot="1" x14ac:dyDescent="0.35">
      <c r="B19" s="529"/>
      <c r="C19" s="1"/>
      <c r="D19" s="1"/>
      <c r="E19" s="1"/>
      <c r="F19" s="1"/>
      <c r="G19" s="527"/>
      <c r="H19" s="527"/>
      <c r="I19" s="527"/>
      <c r="J19" s="527"/>
      <c r="K19" s="527"/>
      <c r="L19" s="527"/>
      <c r="M19" s="520"/>
      <c r="N19" s="521"/>
      <c r="O19" s="4"/>
    </row>
    <row r="20" spans="1:22" ht="27.75" customHeight="1" thickBot="1" x14ac:dyDescent="0.4">
      <c r="B20" s="588" t="s">
        <v>42</v>
      </c>
      <c r="C20" s="589"/>
      <c r="D20" s="590"/>
      <c r="E20" s="610" t="s">
        <v>137</v>
      </c>
      <c r="F20" s="611"/>
      <c r="G20" s="599"/>
      <c r="H20" s="600"/>
      <c r="I20" s="601"/>
      <c r="J20" s="601"/>
      <c r="K20" s="601"/>
      <c r="L20" s="602"/>
      <c r="M20" s="142"/>
      <c r="N20" s="530"/>
    </row>
    <row r="21" spans="1:22" ht="5.25" customHeight="1" x14ac:dyDescent="0.3">
      <c r="B21" s="531"/>
      <c r="C21" s="98"/>
      <c r="D21" s="98"/>
      <c r="E21" s="143"/>
      <c r="F21" s="93"/>
      <c r="G21" s="93"/>
      <c r="H21" s="93"/>
      <c r="I21" s="93"/>
      <c r="J21" s="93"/>
      <c r="K21" s="93"/>
      <c r="L21" s="93"/>
      <c r="M21" s="93"/>
      <c r="N21" s="532"/>
      <c r="O21" s="1"/>
    </row>
    <row r="22" spans="1:22" ht="5.25" customHeight="1" thickBot="1" x14ac:dyDescent="0.35">
      <c r="B22" s="531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533"/>
      <c r="O22" s="1"/>
    </row>
    <row r="23" spans="1:22" ht="27" customHeight="1" thickBot="1" x14ac:dyDescent="0.35">
      <c r="B23" s="612" t="s">
        <v>112</v>
      </c>
      <c r="C23" s="613"/>
      <c r="D23" s="613"/>
      <c r="E23" s="613"/>
      <c r="F23" s="98"/>
      <c r="G23" s="603" t="s">
        <v>69</v>
      </c>
      <c r="H23" s="604"/>
      <c r="I23" s="604"/>
      <c r="J23" s="605"/>
      <c r="K23" s="534"/>
      <c r="L23" s="535"/>
      <c r="M23" s="98"/>
      <c r="N23" s="533"/>
      <c r="O23" s="1"/>
    </row>
    <row r="24" spans="1:22" ht="24" customHeight="1" thickBot="1" x14ac:dyDescent="0.4">
      <c r="B24" s="619" t="s">
        <v>41</v>
      </c>
      <c r="C24" s="620"/>
      <c r="D24" s="620"/>
      <c r="E24" s="620"/>
      <c r="F24" s="98"/>
      <c r="G24" s="49"/>
      <c r="H24" s="179"/>
      <c r="I24" s="98"/>
      <c r="J24" s="109"/>
      <c r="K24" s="536"/>
      <c r="L24" s="98"/>
      <c r="M24" s="98"/>
      <c r="N24" s="533"/>
      <c r="O24" s="1"/>
    </row>
    <row r="25" spans="1:22" ht="24" customHeight="1" thickBot="1" x14ac:dyDescent="0.4">
      <c r="B25" s="612" t="s">
        <v>50</v>
      </c>
      <c r="C25" s="613"/>
      <c r="D25" s="613"/>
      <c r="E25" s="613"/>
      <c r="F25" s="98"/>
      <c r="G25" s="47"/>
      <c r="H25" s="179"/>
      <c r="I25" s="537" t="s">
        <v>110</v>
      </c>
      <c r="J25" s="109"/>
      <c r="K25" s="98"/>
      <c r="L25" s="97"/>
      <c r="M25" s="98"/>
      <c r="N25" s="533"/>
      <c r="O25" s="1"/>
    </row>
    <row r="26" spans="1:22" ht="24" customHeight="1" thickBot="1" x14ac:dyDescent="0.4">
      <c r="B26" s="612" t="s">
        <v>298</v>
      </c>
      <c r="C26" s="613"/>
      <c r="D26" s="613"/>
      <c r="E26" s="613"/>
      <c r="F26" s="98"/>
      <c r="G26" s="47"/>
      <c r="H26" s="179"/>
      <c r="I26" s="537" t="s">
        <v>113</v>
      </c>
      <c r="J26" s="98"/>
      <c r="K26" s="98"/>
      <c r="L26" s="98"/>
      <c r="M26" s="98"/>
      <c r="N26" s="533"/>
      <c r="O26" s="1"/>
    </row>
    <row r="27" spans="1:22" ht="23.45" customHeight="1" thickBot="1" x14ac:dyDescent="0.3">
      <c r="B27" s="538"/>
      <c r="C27" s="643" t="s">
        <v>269</v>
      </c>
      <c r="D27" s="643"/>
      <c r="E27" s="643"/>
      <c r="F27" s="312"/>
      <c r="G27" s="380"/>
      <c r="H27" s="313"/>
      <c r="I27" s="642"/>
      <c r="J27" s="642"/>
      <c r="K27" s="642"/>
      <c r="L27" s="98"/>
      <c r="M27" s="98"/>
      <c r="N27" s="533"/>
      <c r="O27" s="1"/>
    </row>
    <row r="28" spans="1:22" ht="24" customHeight="1" thickBot="1" x14ac:dyDescent="0.4">
      <c r="B28" s="612" t="s">
        <v>223</v>
      </c>
      <c r="C28" s="613"/>
      <c r="D28" s="613"/>
      <c r="E28" s="613"/>
      <c r="F28" s="98"/>
      <c r="G28" s="47"/>
      <c r="H28" s="179"/>
      <c r="I28" s="98"/>
      <c r="J28" s="539"/>
      <c r="K28" s="98"/>
      <c r="L28" s="98"/>
      <c r="M28" s="98"/>
      <c r="N28" s="533"/>
      <c r="O28" s="50"/>
    </row>
    <row r="29" spans="1:22" ht="24" customHeight="1" thickBot="1" x14ac:dyDescent="0.4">
      <c r="B29" s="612" t="s">
        <v>224</v>
      </c>
      <c r="C29" s="613"/>
      <c r="D29" s="613"/>
      <c r="E29" s="613"/>
      <c r="F29" s="98"/>
      <c r="G29" s="47"/>
      <c r="H29" s="180"/>
      <c r="I29" s="96"/>
      <c r="J29" s="96"/>
      <c r="K29" s="96"/>
      <c r="L29" s="98"/>
      <c r="M29" s="98"/>
      <c r="N29" s="533"/>
      <c r="O29" s="1"/>
    </row>
    <row r="30" spans="1:22" ht="7.5" customHeight="1" x14ac:dyDescent="0.35">
      <c r="B30" s="540"/>
      <c r="C30" s="99"/>
      <c r="D30" s="99"/>
      <c r="E30" s="99"/>
      <c r="F30" s="99"/>
      <c r="G30" s="181"/>
      <c r="H30" s="181"/>
      <c r="I30" s="101"/>
      <c r="J30" s="101"/>
      <c r="K30" s="101"/>
      <c r="L30" s="99"/>
      <c r="M30" s="99"/>
      <c r="N30" s="541"/>
      <c r="O30" s="1"/>
    </row>
    <row r="31" spans="1:22" ht="7.5" customHeight="1" x14ac:dyDescent="0.25">
      <c r="B31" s="142"/>
      <c r="C31" s="1"/>
      <c r="D31" s="1"/>
      <c r="E31" s="1"/>
      <c r="F31" s="12"/>
      <c r="G31" s="84"/>
      <c r="H31" s="1"/>
      <c r="I31" s="1"/>
      <c r="J31" s="1"/>
      <c r="K31" s="1"/>
      <c r="L31" s="1"/>
      <c r="M31" s="50"/>
      <c r="N31" s="542"/>
      <c r="O31" s="1"/>
      <c r="P31" s="35"/>
      <c r="T31" s="3"/>
      <c r="U31" s="3"/>
    </row>
    <row r="32" spans="1:22" ht="23.25" customHeight="1" x14ac:dyDescent="0.3">
      <c r="A32" s="78"/>
      <c r="B32" s="614" t="s">
        <v>217</v>
      </c>
      <c r="C32" s="615"/>
      <c r="D32" s="616"/>
      <c r="E32" s="93"/>
      <c r="F32" s="43"/>
      <c r="G32" s="43"/>
      <c r="H32" s="43"/>
      <c r="I32" s="43"/>
      <c r="J32" s="93"/>
      <c r="K32" s="93"/>
      <c r="L32" s="94"/>
      <c r="M32" s="95"/>
      <c r="N32" s="543"/>
      <c r="O32" s="3"/>
      <c r="P32" s="3"/>
      <c r="Q32" s="3"/>
      <c r="R32" s="3"/>
      <c r="S32" s="3"/>
      <c r="T32" s="3"/>
      <c r="U32" s="3"/>
      <c r="V32" s="3"/>
    </row>
    <row r="33" spans="1:22" ht="4.5" customHeight="1" x14ac:dyDescent="0.3">
      <c r="A33" s="78"/>
      <c r="B33" s="544"/>
      <c r="C33" s="55"/>
      <c r="D33" s="55"/>
      <c r="E33" s="55"/>
      <c r="F33" s="90"/>
      <c r="G33" s="91"/>
      <c r="H33" s="91"/>
      <c r="I33" s="55"/>
      <c r="J33" s="55"/>
      <c r="K33" s="55"/>
      <c r="L33" s="92"/>
      <c r="M33" s="77"/>
      <c r="N33" s="545"/>
      <c r="O33" s="3"/>
      <c r="P33" s="3"/>
      <c r="Q33" s="3"/>
      <c r="R33" s="3"/>
      <c r="S33" s="3"/>
      <c r="T33" s="3"/>
      <c r="U33" s="3"/>
      <c r="V33" s="3"/>
    </row>
    <row r="34" spans="1:22" ht="18.75" customHeight="1" thickBot="1" x14ac:dyDescent="0.35">
      <c r="A34" s="79"/>
      <c r="B34" s="617"/>
      <c r="C34" s="618"/>
      <c r="D34" s="618"/>
      <c r="E34" s="582" t="s">
        <v>171</v>
      </c>
      <c r="F34" s="583"/>
      <c r="G34" s="287" t="s">
        <v>163</v>
      </c>
      <c r="H34" s="88"/>
      <c r="I34" s="55"/>
      <c r="J34" s="55"/>
      <c r="K34" s="185" t="s">
        <v>181</v>
      </c>
      <c r="L34" s="89" t="s">
        <v>126</v>
      </c>
      <c r="M34" s="55"/>
      <c r="N34" s="546"/>
      <c r="O34" s="1"/>
    </row>
    <row r="35" spans="1:22" ht="24" customHeight="1" thickBot="1" x14ac:dyDescent="0.4">
      <c r="A35" s="79"/>
      <c r="B35" s="547"/>
      <c r="C35" s="55"/>
      <c r="D35" s="102" t="s">
        <v>170</v>
      </c>
      <c r="E35" s="272"/>
      <c r="F35" s="271"/>
      <c r="G35" s="47"/>
      <c r="H35" s="187">
        <f>'Local Exhaust Ventilation'!I4</f>
        <v>2</v>
      </c>
      <c r="I35" s="186" t="str">
        <f>IF(H35=1, "CFM", "")</f>
        <v/>
      </c>
      <c r="J35" s="54" t="s">
        <v>127</v>
      </c>
      <c r="K35" s="131"/>
      <c r="L35" s="73">
        <f>'Local Exhaust Ventilation'!Q4</f>
        <v>-100</v>
      </c>
      <c r="M35" s="125" t="str">
        <f>IF('Local Exhaust Ventilation'!Q4&lt;0, "", "")</f>
        <v/>
      </c>
      <c r="N35" s="548"/>
      <c r="O35" s="1"/>
      <c r="P35" s="1"/>
      <c r="Q35" s="1"/>
      <c r="T35" s="1"/>
      <c r="U35" s="2"/>
    </row>
    <row r="36" spans="1:22" ht="24" customHeight="1" thickBot="1" x14ac:dyDescent="0.4">
      <c r="A36" s="79"/>
      <c r="B36" s="549"/>
      <c r="C36" s="55"/>
      <c r="D36" s="56" t="s">
        <v>189</v>
      </c>
      <c r="E36" s="272"/>
      <c r="F36" s="271"/>
      <c r="G36" s="47"/>
      <c r="H36" s="187">
        <f>'Local Exhaust Ventilation'!I5</f>
        <v>2</v>
      </c>
      <c r="I36" s="122" t="str">
        <f>IF(H36=1, "CFM", "")</f>
        <v/>
      </c>
      <c r="J36" s="54" t="s">
        <v>127</v>
      </c>
      <c r="K36" s="131"/>
      <c r="L36" s="73">
        <f>'Local Exhaust Ventilation'!Q5</f>
        <v>-50</v>
      </c>
      <c r="M36" s="125" t="str">
        <f>IF('Local Exhaust Ventilation'!Q5&lt;0, "", "")</f>
        <v/>
      </c>
      <c r="N36" s="548"/>
      <c r="O36" s="1"/>
      <c r="P36" s="1"/>
      <c r="Q36" s="1"/>
      <c r="T36" s="1"/>
      <c r="U36" s="2"/>
    </row>
    <row r="37" spans="1:22" ht="24" customHeight="1" thickBot="1" x14ac:dyDescent="0.4">
      <c r="A37" s="79"/>
      <c r="B37" s="550"/>
      <c r="C37" s="281">
        <f>'Local Exhaust Ventilation'!I6</f>
        <v>2</v>
      </c>
      <c r="D37" s="56" t="s">
        <v>191</v>
      </c>
      <c r="E37" s="273"/>
      <c r="F37" s="188"/>
      <c r="G37" s="184"/>
      <c r="H37" s="187">
        <f>'Local Exhaust Ventilation'!I6</f>
        <v>2</v>
      </c>
      <c r="I37" s="122" t="str">
        <f>IF(C37=1, "CFM", "")</f>
        <v/>
      </c>
      <c r="J37" s="54" t="s">
        <v>127</v>
      </c>
      <c r="K37" s="189">
        <v>0</v>
      </c>
      <c r="L37" s="73" t="str">
        <f>'Local Exhaust Ventilation'!Q6</f>
        <v/>
      </c>
      <c r="M37" s="125" t="str">
        <f>IF('Local Exhaust Ventilation'!Q6="", "", "")</f>
        <v/>
      </c>
      <c r="N37" s="548"/>
      <c r="O37" s="1"/>
      <c r="P37" s="1"/>
      <c r="Q37" s="1"/>
      <c r="T37" s="1"/>
      <c r="U37" s="2"/>
    </row>
    <row r="38" spans="1:22" ht="22.5" customHeight="1" thickBot="1" x14ac:dyDescent="0.4">
      <c r="A38" s="79"/>
      <c r="B38" s="551"/>
      <c r="C38" s="580" t="s">
        <v>185</v>
      </c>
      <c r="D38" s="580"/>
      <c r="E38" s="580"/>
      <c r="F38" s="580"/>
      <c r="G38" s="580"/>
      <c r="H38" s="182"/>
      <c r="I38" s="572" t="s">
        <v>211</v>
      </c>
      <c r="J38" s="572"/>
      <c r="K38" s="573"/>
      <c r="L38" s="261" t="str">
        <f xml:space="preserve"> IF('Local Exhaust Ventilation'!Q25 = 0, "", 'Local Exhaust Ventilation'!Q25)</f>
        <v/>
      </c>
      <c r="M38" s="55"/>
      <c r="N38" s="546"/>
      <c r="O38" s="1"/>
      <c r="P38" s="1"/>
      <c r="Q38" s="1"/>
      <c r="T38" s="1"/>
      <c r="U38" s="2"/>
    </row>
    <row r="39" spans="1:22" ht="24" customHeight="1" thickBot="1" x14ac:dyDescent="0.35">
      <c r="A39" s="79"/>
      <c r="B39" s="578" t="s">
        <v>287</v>
      </c>
      <c r="C39" s="579"/>
      <c r="D39" s="579"/>
      <c r="E39" s="579"/>
      <c r="F39" s="579"/>
      <c r="G39" s="579"/>
      <c r="H39" s="56"/>
      <c r="I39" s="56"/>
      <c r="J39" s="609" t="s">
        <v>218</v>
      </c>
      <c r="K39" s="609"/>
      <c r="L39" s="206">
        <f>SUM(L35:L38)</f>
        <v>-150</v>
      </c>
      <c r="M39" s="91"/>
      <c r="N39" s="552"/>
      <c r="O39" s="1"/>
      <c r="P39" s="1"/>
      <c r="Q39" s="1"/>
      <c r="T39" s="1"/>
      <c r="U39" s="2"/>
    </row>
    <row r="40" spans="1:22" ht="5.25" customHeight="1" x14ac:dyDescent="0.25">
      <c r="A40" s="79"/>
      <c r="B40" s="553"/>
      <c r="C40" s="57"/>
      <c r="D40" s="124"/>
      <c r="E40" s="57"/>
      <c r="F40" s="72"/>
      <c r="G40" s="72"/>
      <c r="H40" s="72"/>
      <c r="I40" s="72"/>
      <c r="J40" s="58"/>
      <c r="K40" s="57"/>
      <c r="L40" s="57"/>
      <c r="M40" s="57"/>
      <c r="N40" s="554"/>
      <c r="O40" s="1"/>
      <c r="P40" s="1"/>
      <c r="Q40" s="1"/>
      <c r="T40" s="1"/>
      <c r="U40" s="2"/>
    </row>
    <row r="41" spans="1:22" ht="9" customHeight="1" x14ac:dyDescent="0.35">
      <c r="B41" s="142"/>
      <c r="C41" s="1"/>
      <c r="D41" s="1"/>
      <c r="E41" s="1"/>
      <c r="F41" s="555"/>
      <c r="G41" s="183"/>
      <c r="H41" s="183"/>
      <c r="I41" s="51"/>
      <c r="J41" s="52"/>
      <c r="K41" s="1"/>
      <c r="L41" s="1"/>
      <c r="M41" s="1"/>
      <c r="N41" s="530"/>
      <c r="O41" s="1"/>
      <c r="P41" s="1"/>
      <c r="Q41" s="1"/>
      <c r="T41" s="1"/>
      <c r="U41" s="2"/>
    </row>
    <row r="42" spans="1:22" ht="23.25" customHeight="1" x14ac:dyDescent="0.3">
      <c r="B42" s="644" t="s">
        <v>215</v>
      </c>
      <c r="C42" s="645"/>
      <c r="D42" s="645"/>
      <c r="E42" s="646"/>
      <c r="F42" s="100"/>
      <c r="G42" s="43"/>
      <c r="H42" s="373"/>
      <c r="I42" s="12"/>
      <c r="J42" s="630" t="s">
        <v>310</v>
      </c>
      <c r="K42" s="631"/>
      <c r="L42" s="631"/>
      <c r="M42" s="631"/>
      <c r="N42" s="632"/>
      <c r="O42" s="485"/>
      <c r="P42" s="1"/>
      <c r="Q42" s="1"/>
      <c r="R42" s="1"/>
      <c r="S42" s="1"/>
      <c r="T42" s="1"/>
      <c r="U42" s="2"/>
    </row>
    <row r="43" spans="1:22" ht="19.5" customHeight="1" thickBot="1" x14ac:dyDescent="0.4">
      <c r="B43" s="556"/>
      <c r="C43" s="82"/>
      <c r="D43" s="255" t="str">
        <f>IF(G24=-1, "Blower door minimum target:", IF(G24=-2, "Blower door minimum target w/15 CFM buffer:",""))</f>
        <v/>
      </c>
      <c r="E43" s="82"/>
      <c r="F43" s="85"/>
      <c r="G43" s="254" t="str">
        <f>IF(G24=-1,'Calculations-2016'!L3,IF(G24=-2,'Calculations-2016'!M3,""))</f>
        <v/>
      </c>
      <c r="H43" s="80"/>
      <c r="I43" s="374"/>
      <c r="J43" s="633" t="s">
        <v>306</v>
      </c>
      <c r="K43" s="634"/>
      <c r="L43" s="634"/>
      <c r="M43" s="634"/>
      <c r="N43" s="635"/>
      <c r="O43" s="44"/>
      <c r="P43" s="1"/>
      <c r="Q43" s="1"/>
      <c r="R43" s="1"/>
      <c r="S43" s="1"/>
      <c r="T43" s="1"/>
      <c r="U43" s="2"/>
    </row>
    <row r="44" spans="1:22" ht="21.75" customHeight="1" thickBot="1" x14ac:dyDescent="0.4">
      <c r="B44" s="556"/>
      <c r="C44" s="82"/>
      <c r="D44" s="509" t="s">
        <v>299</v>
      </c>
      <c r="E44" s="82"/>
      <c r="F44" s="82"/>
      <c r="G44" s="135"/>
      <c r="H44" s="584"/>
      <c r="I44" s="585"/>
      <c r="J44" s="636"/>
      <c r="K44" s="637"/>
      <c r="L44" s="637"/>
      <c r="M44" s="637"/>
      <c r="N44" s="638"/>
      <c r="O44" s="138"/>
      <c r="Q44" s="1"/>
      <c r="R44" s="1"/>
      <c r="S44" s="1"/>
      <c r="T44" s="1"/>
      <c r="U44" s="126"/>
    </row>
    <row r="45" spans="1:22" ht="4.5" customHeight="1" thickBot="1" x14ac:dyDescent="0.3">
      <c r="B45" s="556"/>
      <c r="C45" s="82"/>
      <c r="D45" s="509"/>
      <c r="E45" s="82"/>
      <c r="F45" s="82"/>
      <c r="G45" s="81"/>
      <c r="H45" s="81"/>
      <c r="I45" s="481"/>
      <c r="J45" s="621" t="s">
        <v>307</v>
      </c>
      <c r="K45" s="622"/>
      <c r="L45" s="622"/>
      <c r="M45" s="622"/>
      <c r="N45" s="623"/>
      <c r="O45" s="138"/>
      <c r="Q45" s="1"/>
      <c r="R45" s="1"/>
      <c r="S45" s="1"/>
      <c r="T45" s="1"/>
      <c r="U45" s="2"/>
    </row>
    <row r="46" spans="1:22" ht="20.25" customHeight="1" thickBot="1" x14ac:dyDescent="0.35">
      <c r="B46" s="556"/>
      <c r="C46" s="82"/>
      <c r="D46" s="509" t="s">
        <v>220</v>
      </c>
      <c r="E46" s="82"/>
      <c r="F46" s="82"/>
      <c r="G46" s="76">
        <f>L39/4</f>
        <v>-37.5</v>
      </c>
      <c r="H46" s="136"/>
      <c r="I46" s="482"/>
      <c r="J46" s="624"/>
      <c r="K46" s="625"/>
      <c r="L46" s="625"/>
      <c r="M46" s="625"/>
      <c r="N46" s="626"/>
      <c r="O46" s="138"/>
      <c r="Q46" s="1"/>
      <c r="R46" s="1"/>
      <c r="S46" s="1"/>
      <c r="T46" s="1"/>
      <c r="U46" s="2"/>
    </row>
    <row r="47" spans="1:22" ht="3.75" customHeight="1" thickBot="1" x14ac:dyDescent="0.3">
      <c r="B47" s="556"/>
      <c r="C47" s="82"/>
      <c r="D47" s="509"/>
      <c r="E47" s="82"/>
      <c r="F47" s="82"/>
      <c r="G47" s="81"/>
      <c r="H47" s="81"/>
      <c r="I47" s="481"/>
      <c r="J47" s="624"/>
      <c r="K47" s="625"/>
      <c r="L47" s="625"/>
      <c r="M47" s="625"/>
      <c r="N47" s="626"/>
      <c r="O47" s="138"/>
      <c r="Q47" s="1"/>
      <c r="R47" s="1"/>
      <c r="S47" s="1"/>
      <c r="T47" s="1"/>
      <c r="U47" s="2"/>
    </row>
    <row r="48" spans="1:22" ht="21" customHeight="1" thickBot="1" x14ac:dyDescent="0.4">
      <c r="B48" s="556"/>
      <c r="C48" s="82"/>
      <c r="D48" s="509" t="s">
        <v>219</v>
      </c>
      <c r="E48" s="82"/>
      <c r="F48" s="82"/>
      <c r="G48" s="75">
        <f>IF(G44="",0,'Calculations-2016'!C3)</f>
        <v>0</v>
      </c>
      <c r="H48" s="137"/>
      <c r="I48" s="481"/>
      <c r="J48" s="624"/>
      <c r="K48" s="625"/>
      <c r="L48" s="625"/>
      <c r="M48" s="625"/>
      <c r="N48" s="626"/>
      <c r="O48" s="138"/>
      <c r="Q48" s="1"/>
      <c r="R48" s="1"/>
      <c r="S48" s="1"/>
      <c r="T48" s="1"/>
      <c r="U48" s="2"/>
    </row>
    <row r="49" spans="2:21" ht="3.75" customHeight="1" thickBot="1" x14ac:dyDescent="0.3">
      <c r="B49" s="556"/>
      <c r="C49" s="82"/>
      <c r="D49" s="509"/>
      <c r="E49" s="80"/>
      <c r="F49" s="82"/>
      <c r="G49" s="81"/>
      <c r="H49" s="81"/>
      <c r="I49" s="481"/>
      <c r="J49" s="639"/>
      <c r="K49" s="640"/>
      <c r="L49" s="640"/>
      <c r="M49" s="640"/>
      <c r="N49" s="641"/>
      <c r="O49" s="138"/>
      <c r="Q49" s="1"/>
      <c r="R49" s="1"/>
      <c r="S49" s="1"/>
      <c r="T49" s="1"/>
      <c r="U49" s="2"/>
    </row>
    <row r="50" spans="2:21" ht="19.149999999999999" customHeight="1" thickBot="1" x14ac:dyDescent="0.4">
      <c r="B50" s="586" t="s">
        <v>270</v>
      </c>
      <c r="C50" s="587"/>
      <c r="D50" s="587"/>
      <c r="E50" s="576"/>
      <c r="F50" s="577"/>
      <c r="G50" s="74">
        <f>IF( 'Calculations-2016'!C6=1, -'Calculations-2016'!D3, 0)</f>
        <v>-3.0566084033999645E-4</v>
      </c>
      <c r="H50" s="137"/>
      <c r="I50" s="481"/>
      <c r="J50" s="621" t="s">
        <v>309</v>
      </c>
      <c r="K50" s="622"/>
      <c r="L50" s="622"/>
      <c r="M50" s="622"/>
      <c r="N50" s="623"/>
      <c r="O50" s="138"/>
      <c r="Q50" s="1"/>
      <c r="R50" s="1"/>
      <c r="S50" s="1"/>
      <c r="T50" s="1"/>
      <c r="U50" s="2"/>
    </row>
    <row r="51" spans="2:21" ht="1.9" customHeight="1" x14ac:dyDescent="0.3">
      <c r="B51" s="557"/>
      <c r="C51" s="509"/>
      <c r="D51" s="509"/>
      <c r="E51" s="82"/>
      <c r="F51" s="82"/>
      <c r="G51" s="83"/>
      <c r="H51" s="375"/>
      <c r="I51" s="481"/>
      <c r="J51" s="624"/>
      <c r="K51" s="625"/>
      <c r="L51" s="625"/>
      <c r="M51" s="625"/>
      <c r="N51" s="626"/>
      <c r="O51" s="7"/>
      <c r="Q51" s="1"/>
      <c r="R51" s="1"/>
      <c r="S51" s="1"/>
      <c r="T51" s="1"/>
      <c r="U51" s="2"/>
    </row>
    <row r="52" spans="2:21" ht="21.6" hidden="1" customHeight="1" thickBot="1" x14ac:dyDescent="0.35">
      <c r="B52" s="586"/>
      <c r="C52" s="587"/>
      <c r="D52" s="587"/>
      <c r="E52" s="82"/>
      <c r="F52" s="82"/>
      <c r="G52" s="74"/>
      <c r="H52" s="137"/>
      <c r="I52" s="483"/>
      <c r="J52" s="624"/>
      <c r="K52" s="625"/>
      <c r="L52" s="625"/>
      <c r="M52" s="625"/>
      <c r="N52" s="626"/>
      <c r="O52" s="7"/>
      <c r="Q52" s="1"/>
      <c r="R52" s="1"/>
      <c r="S52" s="1"/>
      <c r="T52" s="1"/>
      <c r="U52" s="2"/>
    </row>
    <row r="53" spans="2:21" ht="21.75" customHeight="1" x14ac:dyDescent="0.3">
      <c r="B53" s="557"/>
      <c r="C53" s="509"/>
      <c r="D53" s="284" t="s">
        <v>171</v>
      </c>
      <c r="E53" s="82"/>
      <c r="F53" s="82"/>
      <c r="G53" s="83"/>
      <c r="H53" s="375"/>
      <c r="I53" s="484"/>
      <c r="J53" s="624"/>
      <c r="K53" s="625"/>
      <c r="L53" s="625"/>
      <c r="M53" s="625"/>
      <c r="N53" s="626"/>
      <c r="O53" s="7"/>
      <c r="Q53" s="1"/>
      <c r="R53" s="1"/>
      <c r="S53" s="1"/>
      <c r="T53" s="1"/>
      <c r="U53" s="2"/>
    </row>
    <row r="54" spans="2:21" ht="10.5" customHeight="1" x14ac:dyDescent="0.3">
      <c r="B54" s="557"/>
      <c r="C54" s="338"/>
      <c r="D54" s="86"/>
      <c r="E54" s="82"/>
      <c r="F54" s="82"/>
      <c r="G54" s="309"/>
      <c r="H54" s="376"/>
      <c r="I54" s="481"/>
      <c r="J54" s="624"/>
      <c r="K54" s="625"/>
      <c r="L54" s="625"/>
      <c r="M54" s="625"/>
      <c r="N54" s="626"/>
      <c r="O54" s="7"/>
      <c r="Q54" s="1"/>
      <c r="R54" s="1"/>
      <c r="S54" s="1"/>
      <c r="T54" s="1"/>
      <c r="U54" s="2"/>
    </row>
    <row r="55" spans="2:21" ht="1.5" customHeight="1" thickBot="1" x14ac:dyDescent="0.35">
      <c r="B55" s="557"/>
      <c r="C55" s="509"/>
      <c r="D55" s="509"/>
      <c r="E55" s="82"/>
      <c r="F55" s="82"/>
      <c r="G55" s="83"/>
      <c r="H55" s="375"/>
      <c r="I55" s="481"/>
      <c r="J55" s="627"/>
      <c r="K55" s="628"/>
      <c r="L55" s="628"/>
      <c r="M55" s="628"/>
      <c r="N55" s="629"/>
      <c r="O55" s="7"/>
      <c r="Q55" s="1"/>
      <c r="R55" s="1"/>
      <c r="S55" s="1"/>
      <c r="T55" s="1"/>
      <c r="U55" s="2"/>
    </row>
    <row r="56" spans="2:21" ht="20.45" customHeight="1" x14ac:dyDescent="0.3">
      <c r="B56" s="651" t="s">
        <v>216</v>
      </c>
      <c r="C56" s="652"/>
      <c r="D56" s="652"/>
      <c r="E56" s="286"/>
      <c r="F56" s="82"/>
      <c r="G56" s="574">
        <f>TRUNC(IF(G48+G50&lt;0, 0, G48+G50),0)</f>
        <v>0</v>
      </c>
      <c r="H56" s="285"/>
      <c r="I56" s="471"/>
      <c r="J56" s="621" t="s">
        <v>308</v>
      </c>
      <c r="K56" s="622"/>
      <c r="L56" s="622"/>
      <c r="M56" s="622"/>
      <c r="N56" s="623"/>
      <c r="O56" s="190"/>
      <c r="Q56" s="567"/>
      <c r="R56" s="568"/>
      <c r="S56" s="568"/>
      <c r="T56" s="568"/>
      <c r="U56" s="568"/>
    </row>
    <row r="57" spans="2:21" ht="21" customHeight="1" thickBot="1" x14ac:dyDescent="0.35">
      <c r="B57" s="651"/>
      <c r="C57" s="652"/>
      <c r="D57" s="652"/>
      <c r="E57" s="286"/>
      <c r="F57" s="82"/>
      <c r="G57" s="575"/>
      <c r="H57" s="87"/>
      <c r="I57" s="471"/>
      <c r="J57" s="653"/>
      <c r="K57" s="654"/>
      <c r="L57" s="654"/>
      <c r="M57" s="654"/>
      <c r="N57" s="655"/>
      <c r="O57" s="48"/>
      <c r="Q57" s="568"/>
      <c r="R57" s="568"/>
      <c r="S57" s="568"/>
      <c r="T57" s="568"/>
      <c r="U57" s="568"/>
    </row>
    <row r="58" spans="2:21" ht="18.75" customHeight="1" x14ac:dyDescent="0.35">
      <c r="B58" s="558"/>
      <c r="C58" s="258"/>
      <c r="D58" s="260" t="s">
        <v>180</v>
      </c>
      <c r="E58" s="258"/>
      <c r="F58" s="258"/>
      <c r="G58" s="265"/>
      <c r="H58" s="80"/>
      <c r="I58" s="471"/>
      <c r="J58" s="471"/>
      <c r="K58" s="471"/>
      <c r="L58" s="377"/>
      <c r="M58" s="464"/>
      <c r="N58" s="559"/>
      <c r="O58" s="48"/>
      <c r="Q58" s="568"/>
      <c r="R58" s="568"/>
      <c r="S58" s="568"/>
      <c r="T58" s="568"/>
      <c r="U58" s="568"/>
    </row>
    <row r="59" spans="2:21" ht="5.25" customHeight="1" x14ac:dyDescent="0.3">
      <c r="B59" s="560"/>
      <c r="C59" s="259"/>
      <c r="D59" s="259"/>
      <c r="E59" s="259"/>
      <c r="F59" s="259"/>
      <c r="G59" s="257"/>
      <c r="H59" s="378"/>
      <c r="I59" s="650"/>
      <c r="J59" s="650"/>
      <c r="K59" s="650"/>
      <c r="L59" s="379"/>
      <c r="M59" s="379"/>
      <c r="N59" s="561"/>
      <c r="O59" s="7"/>
      <c r="Q59" s="568"/>
      <c r="R59" s="568"/>
      <c r="S59" s="568"/>
      <c r="T59" s="568"/>
      <c r="U59" s="568"/>
    </row>
    <row r="60" spans="2:21" ht="18.75" customHeight="1" x14ac:dyDescent="0.35">
      <c r="B60" s="647" t="s">
        <v>188</v>
      </c>
      <c r="C60" s="648"/>
      <c r="D60" s="648"/>
      <c r="E60" s="648"/>
      <c r="F60" s="648"/>
      <c r="G60" s="648"/>
      <c r="H60" s="648"/>
      <c r="I60" s="648"/>
      <c r="J60" s="648"/>
      <c r="K60" s="648"/>
      <c r="L60" s="648"/>
      <c r="M60" s="648"/>
      <c r="N60" s="649"/>
    </row>
    <row r="61" spans="2:21" ht="21.75" customHeight="1" x14ac:dyDescent="0.25">
      <c r="B61" s="591"/>
      <c r="C61" s="592"/>
      <c r="D61" s="592"/>
      <c r="E61" s="592"/>
      <c r="F61" s="592"/>
      <c r="G61" s="592"/>
      <c r="H61" s="592"/>
      <c r="I61" s="592"/>
      <c r="J61" s="592"/>
      <c r="K61" s="592"/>
      <c r="L61" s="592"/>
      <c r="M61" s="592"/>
      <c r="N61" s="593"/>
      <c r="P61" s="256"/>
    </row>
    <row r="62" spans="2:21" ht="21" customHeight="1" x14ac:dyDescent="0.25">
      <c r="B62" s="591"/>
      <c r="C62" s="592"/>
      <c r="D62" s="592"/>
      <c r="E62" s="592"/>
      <c r="F62" s="592"/>
      <c r="G62" s="592"/>
      <c r="H62" s="592"/>
      <c r="I62" s="592"/>
      <c r="J62" s="592"/>
      <c r="K62" s="592"/>
      <c r="L62" s="592"/>
      <c r="M62" s="592"/>
      <c r="N62" s="593"/>
    </row>
    <row r="63" spans="2:21" ht="21" customHeight="1" x14ac:dyDescent="0.25">
      <c r="B63" s="591"/>
      <c r="C63" s="592"/>
      <c r="D63" s="592"/>
      <c r="E63" s="592"/>
      <c r="F63" s="592"/>
      <c r="G63" s="592"/>
      <c r="H63" s="592"/>
      <c r="I63" s="592"/>
      <c r="J63" s="592"/>
      <c r="K63" s="592"/>
      <c r="L63" s="592"/>
      <c r="M63" s="592"/>
      <c r="N63" s="593"/>
    </row>
    <row r="64" spans="2:21" ht="21" customHeight="1" x14ac:dyDescent="0.25">
      <c r="B64" s="591"/>
      <c r="C64" s="592"/>
      <c r="D64" s="592"/>
      <c r="E64" s="592"/>
      <c r="F64" s="592"/>
      <c r="G64" s="592"/>
      <c r="H64" s="592"/>
      <c r="I64" s="592"/>
      <c r="J64" s="592"/>
      <c r="K64" s="592"/>
      <c r="L64" s="592"/>
      <c r="M64" s="592"/>
      <c r="N64" s="593"/>
    </row>
    <row r="65" spans="2:14" ht="21" customHeight="1" x14ac:dyDescent="0.25">
      <c r="B65" s="591"/>
      <c r="C65" s="592"/>
      <c r="D65" s="592"/>
      <c r="E65" s="592"/>
      <c r="F65" s="592"/>
      <c r="G65" s="592"/>
      <c r="H65" s="592"/>
      <c r="I65" s="592"/>
      <c r="J65" s="592"/>
      <c r="K65" s="592"/>
      <c r="L65" s="592"/>
      <c r="M65" s="592"/>
      <c r="N65" s="593"/>
    </row>
    <row r="66" spans="2:14" ht="21" customHeight="1" x14ac:dyDescent="0.25">
      <c r="B66" s="591"/>
      <c r="C66" s="592"/>
      <c r="D66" s="592"/>
      <c r="E66" s="592"/>
      <c r="F66" s="592"/>
      <c r="G66" s="592"/>
      <c r="H66" s="592"/>
      <c r="I66" s="592"/>
      <c r="J66" s="592"/>
      <c r="K66" s="592"/>
      <c r="L66" s="592"/>
      <c r="M66" s="592"/>
      <c r="N66" s="593"/>
    </row>
    <row r="67" spans="2:14" ht="21" customHeight="1" x14ac:dyDescent="0.25">
      <c r="B67" s="591"/>
      <c r="C67" s="592"/>
      <c r="D67" s="592"/>
      <c r="E67" s="592"/>
      <c r="F67" s="592"/>
      <c r="G67" s="592"/>
      <c r="H67" s="592"/>
      <c r="I67" s="592"/>
      <c r="J67" s="592"/>
      <c r="K67" s="592"/>
      <c r="L67" s="592"/>
      <c r="M67" s="592"/>
      <c r="N67" s="593"/>
    </row>
    <row r="68" spans="2:14" ht="21" customHeight="1" x14ac:dyDescent="0.25">
      <c r="B68" s="591"/>
      <c r="C68" s="592"/>
      <c r="D68" s="592"/>
      <c r="E68" s="592"/>
      <c r="F68" s="592"/>
      <c r="G68" s="592"/>
      <c r="H68" s="592"/>
      <c r="I68" s="592"/>
      <c r="J68" s="592"/>
      <c r="K68" s="592"/>
      <c r="L68" s="592"/>
      <c r="M68" s="592"/>
      <c r="N68" s="593"/>
    </row>
    <row r="69" spans="2:14" ht="21" customHeight="1" x14ac:dyDescent="0.25">
      <c r="B69" s="591"/>
      <c r="C69" s="592"/>
      <c r="D69" s="592"/>
      <c r="E69" s="592"/>
      <c r="F69" s="592"/>
      <c r="G69" s="592"/>
      <c r="H69" s="592"/>
      <c r="I69" s="592"/>
      <c r="J69" s="592"/>
      <c r="K69" s="592"/>
      <c r="L69" s="592"/>
      <c r="M69" s="592"/>
      <c r="N69" s="593"/>
    </row>
    <row r="70" spans="2:14" ht="21" customHeight="1" x14ac:dyDescent="0.25">
      <c r="B70" s="591"/>
      <c r="C70" s="592"/>
      <c r="D70" s="592"/>
      <c r="E70" s="592"/>
      <c r="F70" s="592"/>
      <c r="G70" s="592"/>
      <c r="H70" s="592"/>
      <c r="I70" s="592"/>
      <c r="J70" s="592"/>
      <c r="K70" s="592"/>
      <c r="L70" s="592"/>
      <c r="M70" s="592"/>
      <c r="N70" s="593"/>
    </row>
    <row r="71" spans="2:14" ht="21" customHeight="1" x14ac:dyDescent="0.25">
      <c r="B71" s="591"/>
      <c r="C71" s="592"/>
      <c r="D71" s="592"/>
      <c r="E71" s="592"/>
      <c r="F71" s="592"/>
      <c r="G71" s="592"/>
      <c r="H71" s="592"/>
      <c r="I71" s="592"/>
      <c r="J71" s="592"/>
      <c r="K71" s="592"/>
      <c r="L71" s="592"/>
      <c r="M71" s="592"/>
      <c r="N71" s="593"/>
    </row>
    <row r="72" spans="2:14" ht="21" customHeight="1" x14ac:dyDescent="0.25">
      <c r="B72" s="591"/>
      <c r="C72" s="592"/>
      <c r="D72" s="592"/>
      <c r="E72" s="592"/>
      <c r="F72" s="592"/>
      <c r="G72" s="592"/>
      <c r="H72" s="592"/>
      <c r="I72" s="592"/>
      <c r="J72" s="592"/>
      <c r="K72" s="592"/>
      <c r="L72" s="592"/>
      <c r="M72" s="592"/>
      <c r="N72" s="593"/>
    </row>
    <row r="73" spans="2:14" ht="21" customHeight="1" x14ac:dyDescent="0.25">
      <c r="B73" s="591"/>
      <c r="C73" s="592"/>
      <c r="D73" s="592"/>
      <c r="E73" s="592"/>
      <c r="F73" s="592"/>
      <c r="G73" s="592"/>
      <c r="H73" s="592"/>
      <c r="I73" s="592"/>
      <c r="J73" s="592"/>
      <c r="K73" s="592"/>
      <c r="L73" s="592"/>
      <c r="M73" s="592"/>
      <c r="N73" s="593"/>
    </row>
    <row r="74" spans="2:14" ht="21" customHeight="1" x14ac:dyDescent="0.25">
      <c r="B74" s="591"/>
      <c r="C74" s="592"/>
      <c r="D74" s="592"/>
      <c r="E74" s="592"/>
      <c r="F74" s="592"/>
      <c r="G74" s="592"/>
      <c r="H74" s="592"/>
      <c r="I74" s="592"/>
      <c r="J74" s="592"/>
      <c r="K74" s="592"/>
      <c r="L74" s="592"/>
      <c r="M74" s="592"/>
      <c r="N74" s="593"/>
    </row>
    <row r="75" spans="2:14" ht="21" customHeight="1" x14ac:dyDescent="0.25">
      <c r="B75" s="591"/>
      <c r="C75" s="592"/>
      <c r="D75" s="592"/>
      <c r="E75" s="592"/>
      <c r="F75" s="592"/>
      <c r="G75" s="592"/>
      <c r="H75" s="592"/>
      <c r="I75" s="592"/>
      <c r="J75" s="592"/>
      <c r="K75" s="592"/>
      <c r="L75" s="592"/>
      <c r="M75" s="592"/>
      <c r="N75" s="593"/>
    </row>
    <row r="76" spans="2:14" ht="15" customHeight="1" thickBot="1" x14ac:dyDescent="0.3">
      <c r="B76" s="594"/>
      <c r="C76" s="595"/>
      <c r="D76" s="595"/>
      <c r="E76" s="595"/>
      <c r="F76" s="595"/>
      <c r="G76" s="595"/>
      <c r="H76" s="595"/>
      <c r="I76" s="595"/>
      <c r="J76" s="595"/>
      <c r="K76" s="595"/>
      <c r="L76" s="595"/>
      <c r="M76" s="595"/>
      <c r="N76" s="596"/>
    </row>
    <row r="128" spans="7:7" hidden="1" x14ac:dyDescent="0.25">
      <c r="G128" t="s">
        <v>24</v>
      </c>
    </row>
    <row r="129" spans="7:7" hidden="1" x14ac:dyDescent="0.25">
      <c r="G129" t="s">
        <v>25</v>
      </c>
    </row>
    <row r="130" spans="7:7" hidden="1" x14ac:dyDescent="0.25">
      <c r="G130" t="s">
        <v>28</v>
      </c>
    </row>
    <row r="131" spans="7:7" hidden="1" x14ac:dyDescent="0.25">
      <c r="G131" t="s">
        <v>31</v>
      </c>
    </row>
    <row r="132" spans="7:7" hidden="1" x14ac:dyDescent="0.25">
      <c r="G132" t="s">
        <v>21</v>
      </c>
    </row>
  </sheetData>
  <sheetProtection algorithmName="SHA-512" hashValue="cf7o9KQGZATxWIES/UsKn4/7kEpPY+RG2X+ildltLjYR+9JdsDQwybaXzvvEW7ctuaR3hbc9+PwQoQsNrpLFgw==" saltValue="a8WK/1hIRpdTf7D2BFVhog==" spinCount="100000" sheet="1" objects="1" scenarios="1" selectLockedCells="1"/>
  <mergeCells count="52">
    <mergeCell ref="B64:N66"/>
    <mergeCell ref="B67:N69"/>
    <mergeCell ref="B60:N60"/>
    <mergeCell ref="I59:K59"/>
    <mergeCell ref="B56:D57"/>
    <mergeCell ref="J56:N57"/>
    <mergeCell ref="B24:E24"/>
    <mergeCell ref="B25:E25"/>
    <mergeCell ref="J50:N55"/>
    <mergeCell ref="J42:N42"/>
    <mergeCell ref="B61:N63"/>
    <mergeCell ref="J43:N44"/>
    <mergeCell ref="J45:N49"/>
    <mergeCell ref="I27:K27"/>
    <mergeCell ref="C27:E27"/>
    <mergeCell ref="B50:D50"/>
    <mergeCell ref="B42:E42"/>
    <mergeCell ref="B26:E26"/>
    <mergeCell ref="B28:E28"/>
    <mergeCell ref="B29:E29"/>
    <mergeCell ref="B70:N72"/>
    <mergeCell ref="B73:N76"/>
    <mergeCell ref="D8:E8"/>
    <mergeCell ref="D18:E18"/>
    <mergeCell ref="G8:L8"/>
    <mergeCell ref="G10:L10"/>
    <mergeCell ref="G14:L14"/>
    <mergeCell ref="G16:L16"/>
    <mergeCell ref="G23:J23"/>
    <mergeCell ref="G18:J18"/>
    <mergeCell ref="G20:L20"/>
    <mergeCell ref="J39:K39"/>
    <mergeCell ref="E20:F20"/>
    <mergeCell ref="B23:E23"/>
    <mergeCell ref="B32:D32"/>
    <mergeCell ref="B34:D34"/>
    <mergeCell ref="Q56:U59"/>
    <mergeCell ref="B6:L6"/>
    <mergeCell ref="F5:L5"/>
    <mergeCell ref="I38:K38"/>
    <mergeCell ref="G56:G57"/>
    <mergeCell ref="E50:F50"/>
    <mergeCell ref="B39:G39"/>
    <mergeCell ref="C38:G38"/>
    <mergeCell ref="D10:E10"/>
    <mergeCell ref="D12:E12"/>
    <mergeCell ref="D14:E14"/>
    <mergeCell ref="D16:E16"/>
    <mergeCell ref="E34:F34"/>
    <mergeCell ref="H44:I44"/>
    <mergeCell ref="B52:D52"/>
    <mergeCell ref="B20:D20"/>
  </mergeCells>
  <phoneticPr fontId="20" type="noConversion"/>
  <conditionalFormatting sqref="G36">
    <cfRule type="expression" dxfId="32" priority="14">
      <formula>$H$36=2</formula>
    </cfRule>
  </conditionalFormatting>
  <conditionalFormatting sqref="G35">
    <cfRule type="expression" dxfId="31" priority="13">
      <formula>$H$35=2</formula>
    </cfRule>
  </conditionalFormatting>
  <conditionalFormatting sqref="G37">
    <cfRule type="expression" dxfId="30" priority="7">
      <formula>C37=2</formula>
    </cfRule>
    <cfRule type="expression" dxfId="29" priority="10">
      <formula>$C$37=2</formula>
    </cfRule>
    <cfRule type="expression" dxfId="28" priority="12">
      <formula>$C$37=2</formula>
    </cfRule>
  </conditionalFormatting>
  <conditionalFormatting sqref="G58">
    <cfRule type="expression" dxfId="27" priority="3">
      <formula>"G58=&gt;30"</formula>
    </cfRule>
  </conditionalFormatting>
  <dataValidations count="1">
    <dataValidation type="list" showInputMessage="1" showErrorMessage="1" error="If your actual location is not on this list, please choose the closest location from the list." sqref="G23:J23">
      <formula1>WSF_Stations</formula1>
    </dataValidation>
  </dataValidations>
  <printOptions horizontalCentered="1" verticalCentered="1"/>
  <pageMargins left="0" right="0" top="0" bottom="0" header="0.3" footer="0.3"/>
  <pageSetup scale="63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2" r:id="rId4" name="Group Box 98">
              <controlPr defaultSize="0" autoFill="0" autoPict="0">
                <anchor moveWithCells="1">
                  <from>
                    <xdr:col>3</xdr:col>
                    <xdr:colOff>1590675</xdr:colOff>
                    <xdr:row>34</xdr:row>
                    <xdr:rowOff>9525</xdr:rowOff>
                  </from>
                  <to>
                    <xdr:col>5</xdr:col>
                    <xdr:colOff>276225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" name="Option Button 99">
              <controlPr defaultSize="0" autoFill="0" autoLine="0" autoPict="0">
                <anchor moveWithCells="1">
                  <from>
                    <xdr:col>4</xdr:col>
                    <xdr:colOff>19050</xdr:colOff>
                    <xdr:row>34</xdr:row>
                    <xdr:rowOff>38100</xdr:rowOff>
                  </from>
                  <to>
                    <xdr:col>4</xdr:col>
                    <xdr:colOff>238125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6" name="Option Button 103">
              <controlPr defaultSize="0" autoFill="0" autoLine="0" autoPict="0" altText="">
                <anchor moveWithCells="1">
                  <from>
                    <xdr:col>5</xdr:col>
                    <xdr:colOff>28575</xdr:colOff>
                    <xdr:row>34</xdr:row>
                    <xdr:rowOff>28575</xdr:rowOff>
                  </from>
                  <to>
                    <xdr:col>5</xdr:col>
                    <xdr:colOff>257175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" name="Option Button 112">
              <controlPr defaultSize="0" autoFill="0" autoLine="0" autoPict="0">
                <anchor moveWithCells="1">
                  <from>
                    <xdr:col>4</xdr:col>
                    <xdr:colOff>19050</xdr:colOff>
                    <xdr:row>35</xdr:row>
                    <xdr:rowOff>38100</xdr:rowOff>
                  </from>
                  <to>
                    <xdr:col>4</xdr:col>
                    <xdr:colOff>238125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" name="Option Button 114">
              <controlPr defaultSize="0" autoFill="0" autoLine="0" autoPict="0">
                <anchor moveWithCells="1">
                  <from>
                    <xdr:col>5</xdr:col>
                    <xdr:colOff>38100</xdr:colOff>
                    <xdr:row>35</xdr:row>
                    <xdr:rowOff>38100</xdr:rowOff>
                  </from>
                  <to>
                    <xdr:col>5</xdr:col>
                    <xdr:colOff>266700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" name="Group Box 119">
              <controlPr defaultSize="0" autoFill="0" autoPict="0">
                <anchor moveWithCells="1">
                  <from>
                    <xdr:col>3</xdr:col>
                    <xdr:colOff>1581150</xdr:colOff>
                    <xdr:row>35</xdr:row>
                    <xdr:rowOff>19050</xdr:rowOff>
                  </from>
                  <to>
                    <xdr:col>5</xdr:col>
                    <xdr:colOff>276225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" name="Group Box 120">
              <controlPr defaultSize="0" autoFill="0" autoPict="0">
                <anchor moveWithCells="1">
                  <from>
                    <xdr:col>3</xdr:col>
                    <xdr:colOff>1590675</xdr:colOff>
                    <xdr:row>36</xdr:row>
                    <xdr:rowOff>28575</xdr:rowOff>
                  </from>
                  <to>
                    <xdr:col>5</xdr:col>
                    <xdr:colOff>285750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1" name="Option Button 121">
              <controlPr defaultSize="0" autoFill="0" autoLine="0" autoPict="0">
                <anchor moveWithCells="1">
                  <from>
                    <xdr:col>4</xdr:col>
                    <xdr:colOff>28575</xdr:colOff>
                    <xdr:row>36</xdr:row>
                    <xdr:rowOff>57150</xdr:rowOff>
                  </from>
                  <to>
                    <xdr:col>4</xdr:col>
                    <xdr:colOff>238125</xdr:colOff>
                    <xdr:row>36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" name="Option Button 122">
              <controlPr defaultSize="0" autoFill="0" autoLine="0" autoPict="0" altText="">
                <anchor moveWithCells="1">
                  <from>
                    <xdr:col>5</xdr:col>
                    <xdr:colOff>38100</xdr:colOff>
                    <xdr:row>36</xdr:row>
                    <xdr:rowOff>47625</xdr:rowOff>
                  </from>
                  <to>
                    <xdr:col>5</xdr:col>
                    <xdr:colOff>266700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" name="Option Button 155">
              <controlPr defaultSize="0" autoFill="0" autoLine="0" autoPict="0" altText="">
                <anchor moveWithCells="1">
                  <from>
                    <xdr:col>10</xdr:col>
                    <xdr:colOff>133350</xdr:colOff>
                    <xdr:row>34</xdr:row>
                    <xdr:rowOff>57150</xdr:rowOff>
                  </from>
                  <to>
                    <xdr:col>10</xdr:col>
                    <xdr:colOff>361950</xdr:colOff>
                    <xdr:row>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4" name="Option Button 156">
              <controlPr defaultSize="0" autoFill="0" autoLine="0" autoPict="0" altText="">
                <anchor moveWithCells="1">
                  <from>
                    <xdr:col>10</xdr:col>
                    <xdr:colOff>371475</xdr:colOff>
                    <xdr:row>34</xdr:row>
                    <xdr:rowOff>47625</xdr:rowOff>
                  </from>
                  <to>
                    <xdr:col>10</xdr:col>
                    <xdr:colOff>590550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5" name="Group Box 157">
              <controlPr defaultSize="0" autoFill="0" autoPict="0">
                <anchor moveWithCells="1">
                  <from>
                    <xdr:col>10</xdr:col>
                    <xdr:colOff>47625</xdr:colOff>
                    <xdr:row>34</xdr:row>
                    <xdr:rowOff>0</xdr:rowOff>
                  </from>
                  <to>
                    <xdr:col>11</xdr:col>
                    <xdr:colOff>9525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" name="Option Button 165">
              <controlPr defaultSize="0" autoFill="0" autoLine="0" autoPict="0">
                <anchor moveWithCells="1">
                  <from>
                    <xdr:col>10</xdr:col>
                    <xdr:colOff>133350</xdr:colOff>
                    <xdr:row>35</xdr:row>
                    <xdr:rowOff>76200</xdr:rowOff>
                  </from>
                  <to>
                    <xdr:col>10</xdr:col>
                    <xdr:colOff>371475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7" name="Option Button 166">
              <controlPr defaultSize="0" autoFill="0" autoLine="0" autoPict="0">
                <anchor moveWithCells="1">
                  <from>
                    <xdr:col>10</xdr:col>
                    <xdr:colOff>371475</xdr:colOff>
                    <xdr:row>35</xdr:row>
                    <xdr:rowOff>76200</xdr:rowOff>
                  </from>
                  <to>
                    <xdr:col>10</xdr:col>
                    <xdr:colOff>619125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8" name="Group Box 167">
              <controlPr defaultSize="0" autoFill="0" autoPict="0">
                <anchor moveWithCells="1">
                  <from>
                    <xdr:col>10</xdr:col>
                    <xdr:colOff>57150</xdr:colOff>
                    <xdr:row>35</xdr:row>
                    <xdr:rowOff>38100</xdr:rowOff>
                  </from>
                  <to>
                    <xdr:col>11</xdr:col>
                    <xdr:colOff>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9" name="Option Button 168">
              <controlPr defaultSize="0" autoFill="0" autoLine="0" autoPict="0">
                <anchor moveWithCells="1">
                  <from>
                    <xdr:col>10</xdr:col>
                    <xdr:colOff>133350</xdr:colOff>
                    <xdr:row>36</xdr:row>
                    <xdr:rowOff>76200</xdr:rowOff>
                  </from>
                  <to>
                    <xdr:col>10</xdr:col>
                    <xdr:colOff>371475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20" name="Option Button 169">
              <controlPr defaultSize="0" autoFill="0" autoLine="0" autoPict="0">
                <anchor moveWithCells="1">
                  <from>
                    <xdr:col>10</xdr:col>
                    <xdr:colOff>381000</xdr:colOff>
                    <xdr:row>36</xdr:row>
                    <xdr:rowOff>85725</xdr:rowOff>
                  </from>
                  <to>
                    <xdr:col>10</xdr:col>
                    <xdr:colOff>609600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21" name="Group Box 174">
              <controlPr defaultSize="0" autoFill="0" autoPict="0">
                <anchor moveWithCells="1">
                  <from>
                    <xdr:col>10</xdr:col>
                    <xdr:colOff>66675</xdr:colOff>
                    <xdr:row>36</xdr:row>
                    <xdr:rowOff>47625</xdr:rowOff>
                  </from>
                  <to>
                    <xdr:col>11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22" name="Option Button 181">
              <controlPr defaultSize="0" autoFill="0" autoLine="0" autoPict="0">
                <anchor moveWithCells="1">
                  <from>
                    <xdr:col>3</xdr:col>
                    <xdr:colOff>542925</xdr:colOff>
                    <xdr:row>52</xdr:row>
                    <xdr:rowOff>228600</xdr:rowOff>
                  </from>
                  <to>
                    <xdr:col>3</xdr:col>
                    <xdr:colOff>771525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23" name="Option Button 182">
              <controlPr defaultSize="0" autoFill="0" autoLine="0" autoPict="0">
                <anchor moveWithCells="1">
                  <from>
                    <xdr:col>3</xdr:col>
                    <xdr:colOff>828675</xdr:colOff>
                    <xdr:row>52</xdr:row>
                    <xdr:rowOff>228600</xdr:rowOff>
                  </from>
                  <to>
                    <xdr:col>3</xdr:col>
                    <xdr:colOff>1066800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24" name="Group Box 184">
              <controlPr defaultSize="0" autoFill="0" autoPict="0">
                <anchor moveWithCells="1">
                  <from>
                    <xdr:col>3</xdr:col>
                    <xdr:colOff>533400</xdr:colOff>
                    <xdr:row>52</xdr:row>
                    <xdr:rowOff>200025</xdr:rowOff>
                  </from>
                  <to>
                    <xdr:col>3</xdr:col>
                    <xdr:colOff>1066800</xdr:colOff>
                    <xdr:row>55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3" tint="0.59999389629810485"/>
    <pageSetUpPr fitToPage="1"/>
  </sheetPr>
  <dimension ref="J1:AB10"/>
  <sheetViews>
    <sheetView showGridLines="0" zoomScale="75" zoomScaleNormal="75" workbookViewId="0">
      <selection activeCell="O35" sqref="O35"/>
    </sheetView>
  </sheetViews>
  <sheetFormatPr defaultRowHeight="15" x14ac:dyDescent="0.25"/>
  <cols>
    <col min="4" max="4" width="7" customWidth="1"/>
  </cols>
  <sheetData>
    <row r="1" spans="10:28" ht="28.5" x14ac:dyDescent="0.45">
      <c r="J1" s="796" t="s">
        <v>166</v>
      </c>
      <c r="K1" s="796"/>
      <c r="L1" s="796"/>
      <c r="M1" s="796"/>
      <c r="N1" s="796"/>
    </row>
    <row r="10" spans="10:28" x14ac:dyDescent="0.25">
      <c r="AB10" s="157"/>
    </row>
  </sheetData>
  <sheetProtection password="C706" sheet="1" objects="1" scenarios="1" selectLockedCells="1" selectUnlockedCells="1"/>
  <mergeCells count="1">
    <mergeCell ref="J1:N1"/>
  </mergeCells>
  <pageMargins left="0.25" right="0.25" top="0.75" bottom="0.75" header="0.3" footer="0.3"/>
  <pageSetup scale="5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0.59999389629810485"/>
    <pageSetUpPr fitToPage="1"/>
  </sheetPr>
  <dimension ref="D1:H1"/>
  <sheetViews>
    <sheetView showGridLines="0" showRowColHeaders="0" zoomScale="115" zoomScaleNormal="115" workbookViewId="0">
      <selection activeCell="E24" sqref="E24"/>
    </sheetView>
  </sheetViews>
  <sheetFormatPr defaultRowHeight="15" x14ac:dyDescent="0.25"/>
  <cols>
    <col min="3" max="3" width="24.7109375" customWidth="1"/>
  </cols>
  <sheetData>
    <row r="1" spans="4:8" ht="28.5" x14ac:dyDescent="0.45">
      <c r="D1" s="796" t="s">
        <v>167</v>
      </c>
      <c r="E1" s="796"/>
      <c r="F1" s="796"/>
      <c r="G1" s="796"/>
      <c r="H1" s="796"/>
    </row>
  </sheetData>
  <sheetProtection password="C706" sheet="1" objects="1" scenarios="1" selectLockedCells="1" selectUnlockedCells="1"/>
  <mergeCells count="1">
    <mergeCell ref="D1:H1"/>
  </mergeCells>
  <pageMargins left="1" right="0.25" top="0.25" bottom="0.25" header="0.3" footer="0.3"/>
  <pageSetup paperSize="5" scale="5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theme="9" tint="0.59999389629810485"/>
    <pageSetUpPr fitToPage="1"/>
  </sheetPr>
  <dimension ref="A8:V8"/>
  <sheetViews>
    <sheetView showGridLines="0" zoomScale="85" zoomScaleNormal="85" zoomScalePageLayoutView="70" workbookViewId="0"/>
  </sheetViews>
  <sheetFormatPr defaultRowHeight="15" x14ac:dyDescent="0.25"/>
  <sheetData>
    <row r="8" spans="1:22" ht="55.5" x14ac:dyDescent="0.75">
      <c r="A8" s="797" t="s">
        <v>168</v>
      </c>
      <c r="B8" s="797"/>
      <c r="C8" s="797"/>
      <c r="D8" s="797"/>
      <c r="E8" s="797"/>
      <c r="F8" s="797"/>
      <c r="G8" s="797"/>
      <c r="H8" s="797"/>
      <c r="I8" s="797"/>
      <c r="J8" s="797"/>
      <c r="K8" s="797"/>
      <c r="L8" s="797"/>
      <c r="M8" s="797"/>
      <c r="N8" s="797"/>
      <c r="O8" s="797"/>
      <c r="P8" s="797"/>
      <c r="Q8" s="797"/>
      <c r="R8" s="797"/>
      <c r="S8" s="797"/>
      <c r="T8" s="797"/>
      <c r="U8" s="797"/>
      <c r="V8" s="797"/>
    </row>
  </sheetData>
  <sheetProtection password="C706" sheet="1" objects="1" scenarios="1" selectLockedCells="1"/>
  <mergeCells count="1">
    <mergeCell ref="A8:V8"/>
  </mergeCells>
  <pageMargins left="0.25" right="0.25" top="0.75" bottom="0.75" header="0.3" footer="0.3"/>
  <pageSetup scale="63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1" shapeId="17409" r:id="rId4">
          <objectPr defaultSize="0" autoPict="0" r:id="rId5">
            <anchor moveWithCells="1">
              <from>
                <xdr:col>0</xdr:col>
                <xdr:colOff>38100</xdr:colOff>
                <xdr:row>8</xdr:row>
                <xdr:rowOff>142875</xdr:rowOff>
              </from>
              <to>
                <xdr:col>21</xdr:col>
                <xdr:colOff>447675</xdr:colOff>
                <xdr:row>51</xdr:row>
                <xdr:rowOff>95250</xdr:rowOff>
              </to>
            </anchor>
          </objectPr>
        </oleObject>
      </mc:Choice>
      <mc:Fallback>
        <oleObject progId="Visio.Drawing.11" shapeId="17409" r:id="rId4"/>
      </mc:Fallback>
    </mc:AlternateContent>
    <mc:AlternateContent xmlns:mc="http://schemas.openxmlformats.org/markup-compatibility/2006">
      <mc:Choice Requires="x14">
        <oleObject progId="Visio.Drawing.11" shapeId="17410" r:id="rId6">
          <objectPr defaultSize="0" autoPict="0" r:id="rId5">
            <anchor moveWithCells="1">
              <from>
                <xdr:col>0</xdr:col>
                <xdr:colOff>219075</xdr:colOff>
                <xdr:row>8</xdr:row>
                <xdr:rowOff>104775</xdr:rowOff>
              </from>
              <to>
                <xdr:col>22</xdr:col>
                <xdr:colOff>19050</xdr:colOff>
                <xdr:row>51</xdr:row>
                <xdr:rowOff>57150</xdr:rowOff>
              </to>
            </anchor>
          </objectPr>
        </oleObject>
      </mc:Choice>
      <mc:Fallback>
        <oleObject progId="Visio.Drawing.11" shapeId="17410" r:id="rId6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9" tint="0.59999389629810485"/>
    <pageSetUpPr fitToPage="1"/>
  </sheetPr>
  <dimension ref="B9:W9"/>
  <sheetViews>
    <sheetView showGridLines="0" zoomScale="85" zoomScaleNormal="85" workbookViewId="0"/>
  </sheetViews>
  <sheetFormatPr defaultRowHeight="15" x14ac:dyDescent="0.25"/>
  <sheetData>
    <row r="9" spans="2:23" ht="55.5" x14ac:dyDescent="0.75">
      <c r="B9" s="797" t="s">
        <v>169</v>
      </c>
      <c r="C9" s="797"/>
      <c r="D9" s="797"/>
      <c r="E9" s="797"/>
      <c r="F9" s="797"/>
      <c r="G9" s="797"/>
      <c r="H9" s="797"/>
      <c r="I9" s="797"/>
      <c r="J9" s="797"/>
      <c r="K9" s="797"/>
      <c r="L9" s="797"/>
      <c r="M9" s="797"/>
      <c r="N9" s="797"/>
      <c r="O9" s="797"/>
      <c r="P9" s="797"/>
      <c r="Q9" s="797"/>
      <c r="R9" s="797"/>
      <c r="S9" s="797"/>
      <c r="T9" s="797"/>
      <c r="U9" s="797"/>
      <c r="V9" s="797"/>
      <c r="W9" s="797"/>
    </row>
  </sheetData>
  <sheetProtection password="C706" sheet="1" objects="1" scenarios="1" selectLockedCells="1"/>
  <mergeCells count="1">
    <mergeCell ref="B9:W9"/>
  </mergeCells>
  <pageMargins left="0.25" right="0.25" top="0.75" bottom="0.75" header="0.3" footer="0.3"/>
  <pageSetup scale="44"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1" shapeId="18433" r:id="rId4">
          <objectPr defaultSize="0" autoPict="0" r:id="rId5">
            <anchor moveWithCells="1">
              <from>
                <xdr:col>1</xdr:col>
                <xdr:colOff>180975</xdr:colOff>
                <xdr:row>9</xdr:row>
                <xdr:rowOff>76200</xdr:rowOff>
              </from>
              <to>
                <xdr:col>22</xdr:col>
                <xdr:colOff>457200</xdr:colOff>
                <xdr:row>102</xdr:row>
                <xdr:rowOff>123825</xdr:rowOff>
              </to>
            </anchor>
          </objectPr>
        </oleObject>
      </mc:Choice>
      <mc:Fallback>
        <oleObject progId="Visio.Drawing.11" shapeId="18433" r:id="rId4"/>
      </mc:Fallback>
    </mc:AlternateContent>
    <mc:AlternateContent xmlns:mc="http://schemas.openxmlformats.org/markup-compatibility/2006">
      <mc:Choice Requires="x14">
        <oleObject progId="Visio.Drawing.11" shapeId="18434" r:id="rId6">
          <objectPr defaultSize="0" autoPict="0" r:id="rId5">
            <anchor moveWithCells="1">
              <from>
                <xdr:col>0</xdr:col>
                <xdr:colOff>200025</xdr:colOff>
                <xdr:row>9</xdr:row>
                <xdr:rowOff>152400</xdr:rowOff>
              </from>
              <to>
                <xdr:col>21</xdr:col>
                <xdr:colOff>476250</xdr:colOff>
                <xdr:row>103</xdr:row>
                <xdr:rowOff>9525</xdr:rowOff>
              </to>
            </anchor>
          </objectPr>
        </oleObject>
      </mc:Choice>
      <mc:Fallback>
        <oleObject progId="Visio.Drawing.11" shapeId="1843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1:Q56"/>
  <sheetViews>
    <sheetView topLeftCell="B8" zoomScaleNormal="100" workbookViewId="0">
      <selection activeCell="C3" sqref="C3"/>
    </sheetView>
  </sheetViews>
  <sheetFormatPr defaultColWidth="11.42578125" defaultRowHeight="15" x14ac:dyDescent="0.25"/>
  <cols>
    <col min="1" max="1" width="5" style="7" customWidth="1"/>
    <col min="2" max="2" width="22.85546875" style="7" customWidth="1"/>
    <col min="3" max="3" width="34.7109375" style="7" customWidth="1"/>
    <col min="4" max="4" width="18" style="7" customWidth="1"/>
    <col min="5" max="5" width="27" style="7" customWidth="1"/>
    <col min="6" max="6" width="24" style="7" customWidth="1"/>
    <col min="7" max="7" width="20.28515625" style="7" customWidth="1"/>
    <col min="8" max="8" width="7.42578125" style="7" hidden="1" customWidth="1"/>
    <col min="9" max="9" width="6.5703125" style="7" hidden="1" customWidth="1"/>
    <col min="10" max="10" width="6.85546875" style="7" hidden="1" customWidth="1"/>
    <col min="11" max="11" width="9.85546875" style="7" customWidth="1"/>
    <col min="12" max="12" width="12.28515625" style="7" customWidth="1"/>
    <col min="13" max="13" width="15.7109375" style="7" customWidth="1"/>
    <col min="14" max="14" width="15.42578125" style="7" customWidth="1"/>
    <col min="15" max="15" width="11.42578125" style="7"/>
    <col min="16" max="16" width="13.7109375" style="7" customWidth="1"/>
    <col min="17" max="16384" width="11.42578125" style="7"/>
  </cols>
  <sheetData>
    <row r="1" spans="2:17" ht="24" thickBot="1" x14ac:dyDescent="0.35">
      <c r="B1" s="14"/>
      <c r="C1" s="37" t="s">
        <v>213</v>
      </c>
      <c r="D1" s="13"/>
      <c r="E1" s="13"/>
      <c r="I1" s="15"/>
      <c r="J1" s="16"/>
      <c r="K1" s="12"/>
      <c r="L1" s="658" t="s">
        <v>138</v>
      </c>
      <c r="M1" s="660" t="s">
        <v>209</v>
      </c>
      <c r="N1" s="660"/>
    </row>
    <row r="2" spans="2:17" ht="73.5" customHeight="1" thickBot="1" x14ac:dyDescent="0.35">
      <c r="B2" s="17" t="s">
        <v>39</v>
      </c>
      <c r="C2" s="33" t="s">
        <v>120</v>
      </c>
      <c r="D2" s="33" t="s">
        <v>129</v>
      </c>
      <c r="E2" s="33" t="s">
        <v>121</v>
      </c>
      <c r="F2" s="33" t="s">
        <v>122</v>
      </c>
      <c r="G2" s="61" t="s">
        <v>124</v>
      </c>
      <c r="H2" s="41"/>
      <c r="I2" s="41"/>
      <c r="J2" s="41"/>
      <c r="K2" s="41"/>
      <c r="L2" s="659"/>
      <c r="M2" s="661"/>
      <c r="N2" s="660"/>
    </row>
    <row r="3" spans="2:17" ht="27" thickBot="1" x14ac:dyDescent="0.45">
      <c r="B3" s="46"/>
      <c r="C3" s="106">
        <f>F11+(-F10)</f>
        <v>45.000300000000003</v>
      </c>
      <c r="D3" s="106">
        <f>F25</f>
        <v>3.0566084033999645E-4</v>
      </c>
      <c r="E3" s="106">
        <f>IF(D3&gt;(2*C3/3),  C3-2*C3/3, IF(C3-D3&lt;0, 0, C3-D3))</f>
        <v>44.999994339159663</v>
      </c>
      <c r="F3" s="106">
        <f>IF(C3-D3&lt;0, 0, C3-D3)</f>
        <v>44.999994339159663</v>
      </c>
      <c r="G3" s="108">
        <f>IF('Small Homes Ventilation'!E50=0, F3, C3)</f>
        <v>44.999994339159663</v>
      </c>
      <c r="H3" s="42"/>
      <c r="I3" s="42"/>
      <c r="J3" s="42"/>
      <c r="K3" s="42"/>
      <c r="L3" s="105">
        <f>((((0.03*F12+7.5*(K14)-F10-1)*7.3/(F28*F12))*F12/(1000*(F22/F23)^0.4))*144/0.055)+1</f>
        <v>1440.5138072334378</v>
      </c>
      <c r="M3" s="294">
        <f>((((((0.03*F12+7.5*(K14)-F10-16)*7.3)/(F28*F12))*F12)/(1000*(F22/F23)^0.4))*144/0.055)+1</f>
        <v>949.77380981292981</v>
      </c>
      <c r="N3" s="295"/>
    </row>
    <row r="4" spans="2:17" ht="75.75" hidden="1" thickBot="1" x14ac:dyDescent="0.3">
      <c r="B4" s="19" t="s">
        <v>40</v>
      </c>
      <c r="C4" s="60">
        <f>F11</f>
        <v>7.5003000000000002</v>
      </c>
      <c r="D4" s="20">
        <f>F25</f>
        <v>3.0566084033999645E-4</v>
      </c>
      <c r="E4" s="20">
        <f>D4</f>
        <v>3.0566084033999645E-4</v>
      </c>
      <c r="F4" s="21" t="e">
        <f>#REF!/'Small Homes Ventilation'!$G$24</f>
        <v>#REF!</v>
      </c>
      <c r="G4" s="7" t="s">
        <v>43</v>
      </c>
      <c r="H4" s="18"/>
      <c r="I4" s="18"/>
      <c r="J4" s="12"/>
      <c r="K4" s="12"/>
      <c r="L4" s="12"/>
      <c r="M4" s="12"/>
    </row>
    <row r="5" spans="2:17" ht="20.25" thickBot="1" x14ac:dyDescent="0.4">
      <c r="B5" s="59" t="s">
        <v>123</v>
      </c>
      <c r="C5" s="104" t="str">
        <f>IF(C6=1, "Yes", "No")</f>
        <v>Yes</v>
      </c>
      <c r="D5" s="107">
        <f>IF(D3&gt;(2*C3/3),  2*C3/3, D3)</f>
        <v>3.0566084033999645E-4</v>
      </c>
      <c r="E5" s="103" t="s">
        <v>128</v>
      </c>
      <c r="H5" s="12"/>
      <c r="I5" s="12"/>
      <c r="J5" s="12"/>
      <c r="K5" s="12"/>
      <c r="L5" s="266" t="s">
        <v>131</v>
      </c>
      <c r="M5" s="266" t="s">
        <v>131</v>
      </c>
      <c r="N5" s="266"/>
    </row>
    <row r="6" spans="2:17" x14ac:dyDescent="0.25">
      <c r="B6" s="7" t="s">
        <v>172</v>
      </c>
      <c r="C6" s="275">
        <v>1</v>
      </c>
      <c r="D6" s="13"/>
    </row>
    <row r="7" spans="2:17" ht="21" x14ac:dyDescent="0.35">
      <c r="B7" s="22" t="s">
        <v>214</v>
      </c>
      <c r="C7" s="23"/>
      <c r="D7" s="23"/>
      <c r="K7" s="7" t="s">
        <v>98</v>
      </c>
      <c r="Q7" s="7" t="s">
        <v>38</v>
      </c>
    </row>
    <row r="8" spans="2:17" x14ac:dyDescent="0.25">
      <c r="F8" s="7" t="s">
        <v>1</v>
      </c>
      <c r="G8" s="7" t="s">
        <v>5</v>
      </c>
      <c r="K8" s="7" t="s">
        <v>37</v>
      </c>
    </row>
    <row r="9" spans="2:17" ht="20.25" x14ac:dyDescent="0.35">
      <c r="B9" s="7" t="s">
        <v>105</v>
      </c>
      <c r="C9" s="24" t="s">
        <v>104</v>
      </c>
      <c r="F9" s="62">
        <f>F11-F25</f>
        <v>7.4999943391596604</v>
      </c>
      <c r="G9" s="7" t="s">
        <v>6</v>
      </c>
      <c r="H9" s="7" t="s">
        <v>36</v>
      </c>
    </row>
    <row r="10" spans="2:17" ht="21" x14ac:dyDescent="0.35">
      <c r="C10" s="24"/>
      <c r="E10" s="7" t="s">
        <v>118</v>
      </c>
      <c r="F10" s="63">
        <f>'Small Homes Ventilation'!L39/4</f>
        <v>-37.5</v>
      </c>
      <c r="G10" s="7" t="s">
        <v>6</v>
      </c>
      <c r="N10" s="656" t="s">
        <v>134</v>
      </c>
      <c r="O10" s="267" t="s">
        <v>132</v>
      </c>
      <c r="P10" s="268"/>
    </row>
    <row r="11" spans="2:17" ht="20.25" x14ac:dyDescent="0.35">
      <c r="B11" s="25" t="s">
        <v>100</v>
      </c>
      <c r="C11" s="26" t="s">
        <v>111</v>
      </c>
      <c r="D11" s="27"/>
      <c r="E11" s="7" t="s">
        <v>119</v>
      </c>
      <c r="F11" s="62">
        <f>(0.03*F12)+(7.5*(K14))</f>
        <v>7.5003000000000002</v>
      </c>
      <c r="G11" s="7" t="s">
        <v>6</v>
      </c>
      <c r="N11" s="657"/>
      <c r="O11" s="269" t="s">
        <v>133</v>
      </c>
      <c r="P11" s="270"/>
    </row>
    <row r="12" spans="2:17" ht="18.75" x14ac:dyDescent="0.3">
      <c r="B12" s="25"/>
      <c r="D12" s="16" t="s">
        <v>9</v>
      </c>
      <c r="E12" s="12" t="s">
        <v>10</v>
      </c>
      <c r="F12" s="68">
        <f>IF('Small Homes Ventilation'!G25="", 0.01, 'Small Homes Ventilation'!G25)</f>
        <v>0.01</v>
      </c>
      <c r="G12" s="7" t="s">
        <v>7</v>
      </c>
    </row>
    <row r="13" spans="2:17" ht="19.5" x14ac:dyDescent="0.35">
      <c r="D13" s="39" t="s">
        <v>101</v>
      </c>
      <c r="E13" s="12" t="s">
        <v>87</v>
      </c>
      <c r="F13" s="68">
        <f>'Small Homes Ventilation'!G28</f>
        <v>0</v>
      </c>
      <c r="G13" s="7" t="s">
        <v>11</v>
      </c>
    </row>
    <row r="14" spans="2:17" ht="19.5" x14ac:dyDescent="0.35">
      <c r="B14" s="662" t="s">
        <v>245</v>
      </c>
      <c r="C14" s="28"/>
      <c r="D14" s="12"/>
      <c r="E14" s="7" t="s">
        <v>86</v>
      </c>
      <c r="F14" s="68">
        <f>'Small Homes Ventilation'!G29</f>
        <v>0</v>
      </c>
      <c r="G14" s="7" t="s">
        <v>88</v>
      </c>
      <c r="K14" s="66">
        <f>IF((F13+1)&gt;F14,F13+1,F14)</f>
        <v>1</v>
      </c>
      <c r="N14" s="38" t="s">
        <v>130</v>
      </c>
    </row>
    <row r="15" spans="2:17" ht="31.5" customHeight="1" x14ac:dyDescent="0.3">
      <c r="B15" s="662"/>
      <c r="C15" s="7" t="s">
        <v>8</v>
      </c>
      <c r="D15" s="12"/>
      <c r="F15" s="29"/>
      <c r="H15" s="30" t="s">
        <v>33</v>
      </c>
    </row>
    <row r="16" spans="2:17" ht="18.75" x14ac:dyDescent="0.3">
      <c r="C16" s="26" t="s">
        <v>32</v>
      </c>
      <c r="D16" s="12"/>
      <c r="F16" s="64">
        <f>F17*0.055/144</f>
        <v>3.8194444444444451E-6</v>
      </c>
      <c r="G16" s="7" t="s">
        <v>106</v>
      </c>
      <c r="H16" s="7" t="s">
        <v>34</v>
      </c>
    </row>
    <row r="17" spans="2:12" x14ac:dyDescent="0.25">
      <c r="D17" s="16" t="s">
        <v>12</v>
      </c>
      <c r="E17" s="12" t="s">
        <v>0</v>
      </c>
      <c r="F17" s="69">
        <f>IF('Small Homes Ventilation'!G44="", 0.01, 'Small Homes Ventilation'!G44)</f>
        <v>0.01</v>
      </c>
      <c r="G17" s="310" t="s">
        <v>246</v>
      </c>
      <c r="H17" s="7" t="s">
        <v>35</v>
      </c>
      <c r="K17" s="339"/>
      <c r="L17" s="12"/>
    </row>
    <row r="18" spans="2:12" x14ac:dyDescent="0.25">
      <c r="C18" s="28"/>
      <c r="D18" s="12"/>
      <c r="E18" s="28"/>
      <c r="G18" s="310" t="s">
        <v>247</v>
      </c>
      <c r="K18" s="339"/>
      <c r="L18" s="12"/>
    </row>
    <row r="19" spans="2:12" ht="21.75" x14ac:dyDescent="0.35">
      <c r="B19" s="7" t="s">
        <v>102</v>
      </c>
      <c r="C19" s="26" t="s">
        <v>107</v>
      </c>
      <c r="E19" s="28"/>
      <c r="F19" s="64">
        <f>1000*(F16/F12)*(F22/F23)^0.4</f>
        <v>0.37819053126813118</v>
      </c>
      <c r="G19" s="7" t="s">
        <v>7</v>
      </c>
      <c r="K19" s="12"/>
      <c r="L19" s="12"/>
    </row>
    <row r="20" spans="2:12" x14ac:dyDescent="0.25">
      <c r="D20" s="40" t="s">
        <v>9</v>
      </c>
      <c r="E20" s="16" t="s">
        <v>10</v>
      </c>
      <c r="F20" s="69">
        <f>F12</f>
        <v>0.01</v>
      </c>
      <c r="G20" s="7" t="s">
        <v>7</v>
      </c>
    </row>
    <row r="21" spans="2:12" x14ac:dyDescent="0.25">
      <c r="E21" s="7" t="s">
        <v>3</v>
      </c>
      <c r="F21" s="65">
        <f>F16</f>
        <v>3.8194444444444451E-6</v>
      </c>
      <c r="G21" s="7" t="s">
        <v>7</v>
      </c>
    </row>
    <row r="22" spans="2:12" ht="15" customHeight="1" x14ac:dyDescent="0.25">
      <c r="C22" s="289">
        <f>IF('Small Homes Ventilation'!G27="", 1, 'Small Homes Ventilation'!G27)</f>
        <v>1</v>
      </c>
      <c r="D22" s="289">
        <f>IF('Small Homes Ventilation'!G26="", 8, 'Small Homes Ventilation'!G26)</f>
        <v>8</v>
      </c>
      <c r="E22" s="7" t="s">
        <v>13</v>
      </c>
      <c r="F22" s="70">
        <f>C22*D22</f>
        <v>8</v>
      </c>
      <c r="G22" s="7" t="s">
        <v>207</v>
      </c>
    </row>
    <row r="23" spans="2:12" ht="18" x14ac:dyDescent="0.35">
      <c r="E23" s="7" t="s">
        <v>108</v>
      </c>
      <c r="F23" s="66">
        <v>8.1999999999999993</v>
      </c>
      <c r="G23" s="7" t="s">
        <v>14</v>
      </c>
    </row>
    <row r="25" spans="2:12" ht="20.25" x14ac:dyDescent="0.35">
      <c r="B25" s="7" t="s">
        <v>103</v>
      </c>
      <c r="C25" s="24" t="s">
        <v>99</v>
      </c>
      <c r="F25" s="67">
        <f>(F26*F27*F28)/7.3</f>
        <v>3.0566084033999645E-4</v>
      </c>
      <c r="G25" s="7" t="s">
        <v>2</v>
      </c>
      <c r="H25" s="31"/>
    </row>
    <row r="26" spans="2:12" x14ac:dyDescent="0.25">
      <c r="D26" s="7" t="s">
        <v>15</v>
      </c>
      <c r="E26" s="7" t="s">
        <v>4</v>
      </c>
      <c r="F26" s="566">
        <f>F19</f>
        <v>0.37819053126813118</v>
      </c>
      <c r="G26" s="7" t="s">
        <v>7</v>
      </c>
    </row>
    <row r="27" spans="2:12" ht="18" x14ac:dyDescent="0.35">
      <c r="E27" s="7" t="s">
        <v>109</v>
      </c>
      <c r="F27" s="69">
        <f>F12</f>
        <v>0.01</v>
      </c>
      <c r="G27" s="7" t="s">
        <v>7</v>
      </c>
    </row>
    <row r="28" spans="2:12" x14ac:dyDescent="0.25">
      <c r="E28" s="7" t="s">
        <v>16</v>
      </c>
      <c r="F28" s="71">
        <f>LOOKUP('Small Homes Ventilation'!G23,WSF_Stations,D33:D56)</f>
        <v>0.59</v>
      </c>
      <c r="G28" s="7" t="s">
        <v>89</v>
      </c>
      <c r="H28" s="7" t="s">
        <v>17</v>
      </c>
    </row>
    <row r="30" spans="2:12" x14ac:dyDescent="0.25">
      <c r="C30" s="7" t="s">
        <v>271</v>
      </c>
      <c r="G30" s="299" t="s">
        <v>243</v>
      </c>
      <c r="K30" s="12"/>
    </row>
    <row r="31" spans="2:12" x14ac:dyDescent="0.25">
      <c r="G31" s="299"/>
      <c r="I31" s="32"/>
      <c r="K31" s="12"/>
    </row>
    <row r="32" spans="2:12" x14ac:dyDescent="0.25">
      <c r="C32" s="36" t="s">
        <v>18</v>
      </c>
      <c r="D32" s="36" t="s">
        <v>19</v>
      </c>
      <c r="F32" s="300"/>
      <c r="G32" s="311"/>
      <c r="I32" s="32"/>
      <c r="K32" s="12"/>
    </row>
    <row r="33" spans="3:7" x14ac:dyDescent="0.25">
      <c r="C33" s="25" t="s">
        <v>69</v>
      </c>
      <c r="D33" s="45">
        <v>0.59</v>
      </c>
      <c r="F33" s="300"/>
      <c r="G33" s="299"/>
    </row>
    <row r="34" spans="3:7" x14ac:dyDescent="0.25">
      <c r="C34" s="25" t="s">
        <v>70</v>
      </c>
      <c r="D34" s="45">
        <v>0.61</v>
      </c>
    </row>
    <row r="35" spans="3:7" x14ac:dyDescent="0.25">
      <c r="C35" s="25" t="s">
        <v>71</v>
      </c>
      <c r="D35" s="45">
        <v>0.61</v>
      </c>
    </row>
    <row r="36" spans="3:7" x14ac:dyDescent="0.25">
      <c r="C36" s="25" t="s">
        <v>72</v>
      </c>
      <c r="D36" s="45">
        <v>0.65</v>
      </c>
    </row>
    <row r="37" spans="3:7" x14ac:dyDescent="0.25">
      <c r="C37" s="25" t="s">
        <v>73</v>
      </c>
      <c r="D37" s="45">
        <v>0.52</v>
      </c>
    </row>
    <row r="38" spans="3:7" x14ac:dyDescent="0.25">
      <c r="C38" s="25" t="s">
        <v>29</v>
      </c>
      <c r="D38" s="45">
        <v>0.61</v>
      </c>
    </row>
    <row r="39" spans="3:7" x14ac:dyDescent="0.25">
      <c r="C39" s="25" t="s">
        <v>74</v>
      </c>
      <c r="D39" s="45">
        <v>0.51</v>
      </c>
    </row>
    <row r="40" spans="3:7" x14ac:dyDescent="0.25">
      <c r="C40" s="25" t="s">
        <v>75</v>
      </c>
      <c r="D40" s="45">
        <v>0.53</v>
      </c>
    </row>
    <row r="41" spans="3:7" x14ac:dyDescent="0.25">
      <c r="C41" s="25" t="s">
        <v>26</v>
      </c>
      <c r="D41" s="45">
        <v>0.56999999999999995</v>
      </c>
    </row>
    <row r="42" spans="3:7" x14ac:dyDescent="0.25">
      <c r="C42" s="25" t="s">
        <v>76</v>
      </c>
      <c r="D42" s="45">
        <v>0.59</v>
      </c>
    </row>
    <row r="43" spans="3:7" x14ac:dyDescent="0.25">
      <c r="C43" s="25" t="s">
        <v>23</v>
      </c>
      <c r="D43" s="45">
        <v>0.51</v>
      </c>
    </row>
    <row r="44" spans="3:7" x14ac:dyDescent="0.25">
      <c r="C44" s="25" t="s">
        <v>27</v>
      </c>
      <c r="D44" s="45">
        <v>0.6</v>
      </c>
    </row>
    <row r="45" spans="3:7" x14ac:dyDescent="0.25">
      <c r="C45" s="25" t="s">
        <v>20</v>
      </c>
      <c r="D45" s="45">
        <v>0.61</v>
      </c>
    </row>
    <row r="46" spans="3:7" x14ac:dyDescent="0.25">
      <c r="C46" s="25" t="s">
        <v>77</v>
      </c>
      <c r="D46" s="45">
        <v>0.56999999999999995</v>
      </c>
    </row>
    <row r="47" spans="3:7" x14ac:dyDescent="0.25">
      <c r="C47" s="25" t="s">
        <v>78</v>
      </c>
      <c r="D47" s="45">
        <v>0.57999999999999996</v>
      </c>
    </row>
    <row r="48" spans="3:7" x14ac:dyDescent="0.25">
      <c r="C48" s="25" t="s">
        <v>79</v>
      </c>
      <c r="D48" s="45">
        <v>0.49</v>
      </c>
    </row>
    <row r="49" spans="3:4" x14ac:dyDescent="0.25">
      <c r="C49" s="25" t="s">
        <v>30</v>
      </c>
      <c r="D49" s="45">
        <v>0.53</v>
      </c>
    </row>
    <row r="50" spans="3:4" x14ac:dyDescent="0.25">
      <c r="C50" s="25" t="s">
        <v>80</v>
      </c>
      <c r="D50" s="45">
        <v>0.56999999999999995</v>
      </c>
    </row>
    <row r="51" spans="3:4" x14ac:dyDescent="0.25">
      <c r="C51" s="25" t="s">
        <v>22</v>
      </c>
      <c r="D51" s="45">
        <v>0.56000000000000005</v>
      </c>
    </row>
    <row r="52" spans="3:4" x14ac:dyDescent="0.25">
      <c r="C52" s="25" t="s">
        <v>82</v>
      </c>
      <c r="D52" s="45">
        <v>0.55000000000000004</v>
      </c>
    </row>
    <row r="53" spans="3:4" x14ac:dyDescent="0.25">
      <c r="C53" s="25" t="s">
        <v>83</v>
      </c>
      <c r="D53" s="45">
        <v>0.53</v>
      </c>
    </row>
    <row r="54" spans="3:4" x14ac:dyDescent="0.25">
      <c r="C54" s="25" t="s">
        <v>84</v>
      </c>
      <c r="D54" s="45">
        <v>0.56999999999999995</v>
      </c>
    </row>
    <row r="55" spans="3:4" x14ac:dyDescent="0.25">
      <c r="C55" s="25" t="s">
        <v>85</v>
      </c>
      <c r="D55" s="45">
        <v>0.54</v>
      </c>
    </row>
    <row r="56" spans="3:4" x14ac:dyDescent="0.25">
      <c r="C56" s="25" t="s">
        <v>81</v>
      </c>
      <c r="D56" s="45">
        <v>0.51</v>
      </c>
    </row>
  </sheetData>
  <sheetProtection algorithmName="SHA-512" hashValue="6Zj12C+eP54eIW2FdbCrgd0KDI8lZNGtn2q1RDkq5+7Kua4XBaFnNPPJbcc6Y7uK9Gyj9yGIDm/YS8hJq+Yh+A==" saltValue="jHAfopXm4PIlxi+7DAXUyg==" spinCount="100000" sheet="1" objects="1" scenarios="1" selectLockedCells="1" selectUnlockedCells="1"/>
  <mergeCells count="5">
    <mergeCell ref="N10:N11"/>
    <mergeCell ref="L1:L2"/>
    <mergeCell ref="M1:M2"/>
    <mergeCell ref="N1:N2"/>
    <mergeCell ref="B14:B15"/>
  </mergeCells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B1:V26"/>
  <sheetViews>
    <sheetView showGridLines="0" zoomScaleNormal="100" workbookViewId="0">
      <selection activeCell="D9" sqref="D9:E9"/>
    </sheetView>
  </sheetViews>
  <sheetFormatPr defaultColWidth="11.42578125" defaultRowHeight="15" x14ac:dyDescent="0.25"/>
  <cols>
    <col min="1" max="1" width="3.85546875" style="7" customWidth="1"/>
    <col min="2" max="2" width="12.5703125" style="7" customWidth="1"/>
    <col min="3" max="3" width="12.42578125" style="7" customWidth="1"/>
    <col min="4" max="4" width="23" style="7" customWidth="1"/>
    <col min="5" max="5" width="11.7109375" style="7" customWidth="1"/>
    <col min="6" max="6" width="3" style="7" hidden="1" customWidth="1"/>
    <col min="7" max="7" width="23.7109375" style="7" customWidth="1"/>
    <col min="8" max="8" width="11.42578125" style="7" customWidth="1"/>
    <col min="9" max="9" width="1.28515625" style="7" hidden="1" customWidth="1"/>
    <col min="10" max="10" width="14.42578125" style="7" customWidth="1"/>
    <col min="11" max="11" width="7" style="7" customWidth="1"/>
    <col min="12" max="12" width="19.140625" style="7" customWidth="1"/>
    <col min="13" max="13" width="3.7109375" style="7" hidden="1" customWidth="1"/>
    <col min="14" max="14" width="16" style="7" customWidth="1"/>
    <col min="15" max="15" width="3.5703125" style="7" hidden="1" customWidth="1"/>
    <col min="16" max="16" width="5.42578125" style="7" hidden="1" customWidth="1"/>
    <col min="17" max="17" width="11.42578125" style="7"/>
    <col min="18" max="18" width="6" style="7" customWidth="1"/>
    <col min="19" max="19" width="5.5703125" style="7" customWidth="1"/>
    <col min="20" max="20" width="2.7109375" style="7" hidden="1" customWidth="1"/>
    <col min="21" max="21" width="3.140625" style="7" hidden="1" customWidth="1"/>
    <col min="22" max="22" width="3.28515625" style="7" hidden="1" customWidth="1"/>
    <col min="23" max="16384" width="11.42578125" style="7"/>
  </cols>
  <sheetData>
    <row r="1" spans="2:22" ht="15.75" thickBot="1" x14ac:dyDescent="0.3">
      <c r="G1" s="211"/>
    </row>
    <row r="2" spans="2:22" ht="22.5" customHeight="1" thickBot="1" x14ac:dyDescent="0.4">
      <c r="B2" s="663" t="s">
        <v>51</v>
      </c>
      <c r="C2" s="664"/>
      <c r="D2" s="665"/>
      <c r="E2" s="205"/>
    </row>
    <row r="3" spans="2:22" ht="18.75" x14ac:dyDescent="0.3">
      <c r="B3" s="228"/>
      <c r="C3" s="225"/>
      <c r="D3" s="213"/>
      <c r="E3" s="203" t="s">
        <v>177</v>
      </c>
      <c r="F3" s="212"/>
      <c r="G3" s="204"/>
      <c r="H3" s="203" t="s">
        <v>177</v>
      </c>
      <c r="I3" s="199"/>
      <c r="J3" s="252" t="s">
        <v>190</v>
      </c>
      <c r="K3" s="199"/>
      <c r="L3" s="199"/>
      <c r="M3" s="199"/>
      <c r="N3" s="203" t="s">
        <v>177</v>
      </c>
      <c r="O3" s="200"/>
      <c r="P3" s="129" t="s">
        <v>116</v>
      </c>
      <c r="Q3" s="129" t="s">
        <v>117</v>
      </c>
      <c r="R3" s="130"/>
    </row>
    <row r="4" spans="2:22" ht="18.75" x14ac:dyDescent="0.3">
      <c r="B4" s="667" t="s">
        <v>178</v>
      </c>
      <c r="C4" s="668"/>
      <c r="D4" s="668"/>
      <c r="E4" s="227"/>
      <c r="F4" s="237"/>
      <c r="G4" s="238" t="s">
        <v>115</v>
      </c>
      <c r="H4" s="238" t="str">
        <f>IF(I4=1, "   Yes", "            No")</f>
        <v xml:space="preserve">            No</v>
      </c>
      <c r="I4" s="246">
        <v>2</v>
      </c>
      <c r="J4" s="202">
        <f>IF(I4=2, 0, 'Small Homes Ventilation'!G35)</f>
        <v>0</v>
      </c>
      <c r="K4" s="238" t="s">
        <v>6</v>
      </c>
      <c r="L4" s="244" t="s">
        <v>114</v>
      </c>
      <c r="M4" s="244"/>
      <c r="N4" s="238" t="str">
        <f>IF(O4=1, "   Yes", "            No")</f>
        <v xml:space="preserve">            No</v>
      </c>
      <c r="O4" s="246">
        <v>2</v>
      </c>
      <c r="P4" s="234">
        <f>IF(O4=1, 80, 100)</f>
        <v>100</v>
      </c>
      <c r="Q4" s="234">
        <f>-IF(I4=1, IF(P4-J4&lt;0, 0, P4-J4), P4)</f>
        <v>-100</v>
      </c>
      <c r="R4" s="132"/>
    </row>
    <row r="5" spans="2:22" ht="18.75" x14ac:dyDescent="0.3">
      <c r="B5" s="239"/>
      <c r="C5" s="238"/>
      <c r="D5" s="240"/>
      <c r="E5" s="227"/>
      <c r="F5" s="237"/>
      <c r="G5" s="238" t="s">
        <v>176</v>
      </c>
      <c r="H5" s="238" t="str">
        <f>IF(I5=1, "   Yes", "            No")</f>
        <v xml:space="preserve">            No</v>
      </c>
      <c r="I5" s="246">
        <v>2</v>
      </c>
      <c r="J5" s="202">
        <f>IF(I5=2, 0, 'Small Homes Ventilation'!G36)</f>
        <v>0</v>
      </c>
      <c r="K5" s="238" t="s">
        <v>6</v>
      </c>
      <c r="L5" s="244" t="s">
        <v>114</v>
      </c>
      <c r="M5" s="244"/>
      <c r="N5" s="238" t="str">
        <f>IF(O5=1, "   Yes", "            No")</f>
        <v xml:space="preserve">            No</v>
      </c>
      <c r="O5" s="246">
        <v>2</v>
      </c>
      <c r="P5" s="234">
        <f>IF(O5=1, 30, 50)</f>
        <v>50</v>
      </c>
      <c r="Q5" s="234">
        <f>-IF(I5=1, IF(P5-J5&lt;0, 0, P5-J5), P5)</f>
        <v>-50</v>
      </c>
      <c r="R5" s="132"/>
    </row>
    <row r="6" spans="2:22" ht="18.75" x14ac:dyDescent="0.3">
      <c r="B6" s="669" t="s">
        <v>187</v>
      </c>
      <c r="C6" s="670"/>
      <c r="D6" s="242"/>
      <c r="E6" s="282"/>
      <c r="F6" s="283">
        <v>1</v>
      </c>
      <c r="G6" s="243" t="str">
        <f>IF(F6=0, "", "Does a Bath #2 exist?  ")</f>
        <v xml:space="preserve">Does a Bath #2 exist?  </v>
      </c>
      <c r="H6" s="241" t="str">
        <f>IF(I6=1,"   Yes","            No")</f>
        <v xml:space="preserve">            No</v>
      </c>
      <c r="I6" s="247">
        <v>2</v>
      </c>
      <c r="J6" s="202">
        <f xml:space="preserve"> IF(I6=2, 0, 'Small Homes Ventilation'!G37)</f>
        <v>0</v>
      </c>
      <c r="K6" s="245" t="str">
        <f>IF(F6=0, "", "CFM")</f>
        <v>CFM</v>
      </c>
      <c r="L6" s="242" t="str">
        <f>IF(F6=2, "", "Operable window?")</f>
        <v>Operable window?</v>
      </c>
      <c r="M6" s="242"/>
      <c r="N6" s="241" t="str">
        <f>IF(F6=2, "", IF(O6=1, "   Yes", "            No"))</f>
        <v xml:space="preserve">            No</v>
      </c>
      <c r="O6" s="248">
        <v>2</v>
      </c>
      <c r="P6" s="234">
        <f>IF(F6=0, "", IF(O6=1, 30, 50))</f>
        <v>50</v>
      </c>
      <c r="Q6" s="234" t="str">
        <f>IF(I6=1, -IF(I6=1, IF(P6-J6&lt;0, 0, P6-J6), P6), "")</f>
        <v/>
      </c>
      <c r="R6" s="132"/>
    </row>
    <row r="7" spans="2:22" ht="4.5" customHeight="1" x14ac:dyDescent="0.3">
      <c r="B7" s="232"/>
      <c r="C7" s="219"/>
      <c r="D7" s="215"/>
      <c r="E7" s="219"/>
      <c r="F7" s="220"/>
      <c r="G7" s="221"/>
      <c r="H7" s="219"/>
      <c r="I7" s="291"/>
      <c r="J7" s="222"/>
      <c r="K7" s="219"/>
      <c r="L7" s="215"/>
      <c r="M7" s="215"/>
      <c r="N7" s="219"/>
      <c r="O7" s="249">
        <v>1</v>
      </c>
      <c r="P7" s="223"/>
      <c r="Q7" s="224"/>
      <c r="R7" s="132"/>
    </row>
    <row r="8" spans="2:22" ht="15.75" x14ac:dyDescent="0.25">
      <c r="B8" s="230"/>
      <c r="C8" s="233" t="s">
        <v>177</v>
      </c>
      <c r="D8" s="666" t="s">
        <v>95</v>
      </c>
      <c r="E8" s="666"/>
      <c r="F8" s="217"/>
      <c r="G8" s="218"/>
      <c r="H8" s="233" t="s">
        <v>177</v>
      </c>
      <c r="I8" s="217"/>
      <c r="J8" s="253" t="s">
        <v>190</v>
      </c>
      <c r="K8" s="216"/>
      <c r="L8" s="214"/>
      <c r="M8" s="214"/>
      <c r="N8" s="233" t="s">
        <v>177</v>
      </c>
      <c r="O8" s="217"/>
      <c r="P8" s="250" t="s">
        <v>116</v>
      </c>
      <c r="Q8" s="251" t="s">
        <v>117</v>
      </c>
      <c r="R8" s="132"/>
    </row>
    <row r="9" spans="2:22" ht="21" x14ac:dyDescent="0.35">
      <c r="B9" s="229" t="s">
        <v>186</v>
      </c>
      <c r="C9" s="125"/>
      <c r="D9" s="671"/>
      <c r="E9" s="671"/>
      <c r="F9" s="207">
        <v>0</v>
      </c>
      <c r="G9" s="53" t="str">
        <f>IF(T9=1," 2nd Kitchen Fan exists?","")</f>
        <v/>
      </c>
      <c r="H9" s="53"/>
      <c r="I9" s="189"/>
      <c r="J9" s="210"/>
      <c r="K9" s="53" t="str">
        <f>IF(T9=1,"CFM","")</f>
        <v/>
      </c>
      <c r="L9" s="56" t="str">
        <f>IF(T9=1,"Operable window?","")</f>
        <v/>
      </c>
      <c r="M9" s="56"/>
      <c r="N9" s="53"/>
      <c r="O9" s="207">
        <v>1</v>
      </c>
      <c r="P9" s="235" t="str">
        <f>IF(T9=1,IF(V9=1, 80, 100),"")</f>
        <v/>
      </c>
      <c r="Q9" s="235" t="str">
        <f>IF(T9=1,-IF(U9=1,IF(P9-J9&lt;0,0,P9-J9),P9),"")</f>
        <v/>
      </c>
      <c r="R9" s="132"/>
      <c r="T9" s="11">
        <v>2</v>
      </c>
      <c r="U9" s="11">
        <v>2</v>
      </c>
      <c r="V9" s="11">
        <v>2</v>
      </c>
    </row>
    <row r="10" spans="2:22" ht="21" x14ac:dyDescent="0.35">
      <c r="B10" s="229" t="s">
        <v>193</v>
      </c>
      <c r="C10" s="125"/>
      <c r="D10" s="671"/>
      <c r="E10" s="671"/>
      <c r="F10" s="207">
        <v>0</v>
      </c>
      <c r="G10" s="53" t="str">
        <f>IF(T10=1," 3rd Kitchen Fan exists?","")</f>
        <v/>
      </c>
      <c r="H10" s="53"/>
      <c r="I10" s="189"/>
      <c r="J10" s="210"/>
      <c r="K10" s="53" t="str">
        <f>IF(T10=1,"CFM","")</f>
        <v/>
      </c>
      <c r="L10" s="56" t="str">
        <f t="shared" ref="L10:L23" si="0">IF(T10=1,"Operable window?","")</f>
        <v/>
      </c>
      <c r="M10" s="56"/>
      <c r="N10" s="53"/>
      <c r="O10" s="207">
        <v>1</v>
      </c>
      <c r="P10" s="235" t="str">
        <f t="shared" ref="P10:P13" si="1">IF(T10=1,IF(V10=1, 80, 100),"")</f>
        <v/>
      </c>
      <c r="Q10" s="235" t="str">
        <f t="shared" ref="Q10:Q13" si="2">IF(T10=1,-IF(U10=1,IF(P10-J10&lt;0,0,P10-J10),P10),"")</f>
        <v/>
      </c>
      <c r="R10" s="132"/>
      <c r="T10" s="11">
        <v>2</v>
      </c>
      <c r="U10" s="11">
        <v>2</v>
      </c>
      <c r="V10" s="11">
        <v>2</v>
      </c>
    </row>
    <row r="11" spans="2:22" ht="21" x14ac:dyDescent="0.35">
      <c r="B11" s="229" t="s">
        <v>194</v>
      </c>
      <c r="C11" s="125"/>
      <c r="D11" s="671"/>
      <c r="E11" s="671"/>
      <c r="F11" s="207">
        <v>0</v>
      </c>
      <c r="G11" s="53" t="str">
        <f>IF(T11=1," 4th Kitchen Fan exists?","")</f>
        <v/>
      </c>
      <c r="H11" s="53"/>
      <c r="I11" s="189"/>
      <c r="J11" s="210"/>
      <c r="K11" s="53" t="str">
        <f t="shared" ref="K11:K23" si="3">IF(T11=1,"CFM","")</f>
        <v/>
      </c>
      <c r="L11" s="56" t="str">
        <f t="shared" si="0"/>
        <v/>
      </c>
      <c r="M11" s="56"/>
      <c r="N11" s="53"/>
      <c r="O11" s="207">
        <v>1</v>
      </c>
      <c r="P11" s="235" t="str">
        <f t="shared" si="1"/>
        <v/>
      </c>
      <c r="Q11" s="235" t="str">
        <f t="shared" si="2"/>
        <v/>
      </c>
      <c r="R11" s="132"/>
      <c r="T11" s="11">
        <v>2</v>
      </c>
      <c r="U11" s="11">
        <v>2</v>
      </c>
      <c r="V11" s="11">
        <v>2</v>
      </c>
    </row>
    <row r="12" spans="2:22" ht="21" x14ac:dyDescent="0.35">
      <c r="B12" s="229" t="s">
        <v>195</v>
      </c>
      <c r="C12" s="125"/>
      <c r="D12" s="671"/>
      <c r="E12" s="671"/>
      <c r="F12" s="207">
        <v>0</v>
      </c>
      <c r="G12" s="53" t="str">
        <f>IF(T12=1," 5th Kitchen Fan exists?","")</f>
        <v/>
      </c>
      <c r="H12" s="53"/>
      <c r="I12" s="189"/>
      <c r="J12" s="210"/>
      <c r="K12" s="53" t="str">
        <f t="shared" si="3"/>
        <v/>
      </c>
      <c r="L12" s="56" t="str">
        <f t="shared" si="0"/>
        <v/>
      </c>
      <c r="M12" s="56"/>
      <c r="N12" s="53"/>
      <c r="O12" s="207">
        <v>1</v>
      </c>
      <c r="P12" s="235" t="str">
        <f t="shared" si="1"/>
        <v/>
      </c>
      <c r="Q12" s="235" t="str">
        <f t="shared" si="2"/>
        <v/>
      </c>
      <c r="R12" s="132"/>
      <c r="T12" s="11">
        <v>2</v>
      </c>
      <c r="U12" s="11">
        <v>2</v>
      </c>
      <c r="V12" s="11">
        <v>2</v>
      </c>
    </row>
    <row r="13" spans="2:22" ht="21" x14ac:dyDescent="0.35">
      <c r="B13" s="209" t="s">
        <v>196</v>
      </c>
      <c r="C13" s="226"/>
      <c r="D13" s="671"/>
      <c r="E13" s="671"/>
      <c r="F13" s="208">
        <v>0</v>
      </c>
      <c r="G13" s="201" t="str">
        <f>IF(T13=1," 6th Kitchen Fan exists?","")</f>
        <v/>
      </c>
      <c r="H13" s="201"/>
      <c r="I13" s="292"/>
      <c r="J13" s="210"/>
      <c r="K13" s="198" t="str">
        <f t="shared" si="3"/>
        <v/>
      </c>
      <c r="L13" s="197" t="str">
        <f t="shared" si="0"/>
        <v/>
      </c>
      <c r="M13" s="197"/>
      <c r="N13" s="201"/>
      <c r="O13" s="208">
        <v>1</v>
      </c>
      <c r="P13" s="235" t="str">
        <f t="shared" si="1"/>
        <v/>
      </c>
      <c r="Q13" s="235" t="str">
        <f t="shared" si="2"/>
        <v/>
      </c>
      <c r="R13" s="132"/>
      <c r="T13" s="11">
        <v>2</v>
      </c>
      <c r="U13" s="11">
        <v>2</v>
      </c>
      <c r="V13" s="11">
        <v>2</v>
      </c>
    </row>
    <row r="14" spans="2:22" ht="21" x14ac:dyDescent="0.35">
      <c r="B14" s="229" t="s">
        <v>197</v>
      </c>
      <c r="C14" s="56"/>
      <c r="D14" s="671"/>
      <c r="E14" s="671"/>
      <c r="F14" s="207">
        <v>0</v>
      </c>
      <c r="G14" s="53" t="str">
        <f>IF(T14=1," 3rd Bath fan exists?","")</f>
        <v/>
      </c>
      <c r="H14" s="53"/>
      <c r="I14" s="189"/>
      <c r="J14" s="210"/>
      <c r="K14" s="53" t="str">
        <f t="shared" si="3"/>
        <v/>
      </c>
      <c r="L14" s="56" t="str">
        <f t="shared" si="0"/>
        <v/>
      </c>
      <c r="M14" s="56"/>
      <c r="N14" s="53"/>
      <c r="O14" s="207">
        <v>1</v>
      </c>
      <c r="P14" s="235" t="str">
        <f>IF(T14=1,IF(V14=1, 30, 50),"")</f>
        <v/>
      </c>
      <c r="Q14" s="235" t="str">
        <f>IF(T14=1,-IF(U14=1, IF(P14-J14&lt;0, 0, P14-J14), P14),"")</f>
        <v/>
      </c>
      <c r="R14" s="132"/>
      <c r="T14" s="11">
        <v>2</v>
      </c>
      <c r="U14" s="11">
        <v>2</v>
      </c>
      <c r="V14" s="11">
        <v>2</v>
      </c>
    </row>
    <row r="15" spans="2:22" ht="21" x14ac:dyDescent="0.35">
      <c r="B15" s="229" t="s">
        <v>198</v>
      </c>
      <c r="C15" s="56"/>
      <c r="D15" s="671"/>
      <c r="E15" s="671"/>
      <c r="F15" s="207">
        <v>0</v>
      </c>
      <c r="G15" s="133" t="str">
        <f>IF(T15=1, " 4th Bath fan exists?  ","")</f>
        <v/>
      </c>
      <c r="H15" s="53"/>
      <c r="I15" s="189"/>
      <c r="J15" s="210"/>
      <c r="K15" s="53" t="str">
        <f t="shared" si="3"/>
        <v/>
      </c>
      <c r="L15" s="56" t="str">
        <f t="shared" si="0"/>
        <v/>
      </c>
      <c r="M15" s="56"/>
      <c r="N15" s="53"/>
      <c r="O15" s="207">
        <v>1</v>
      </c>
      <c r="P15" s="235" t="str">
        <f t="shared" ref="P15:P23" si="4">IF(T15=1,IF(V15=1, 30, 50),"")</f>
        <v/>
      </c>
      <c r="Q15" s="235" t="str">
        <f t="shared" ref="Q15:Q23" si="5">IF(T15=1,-IF(U15=1, IF(P15-J15&lt;0, 0, P15-J15), P15),"")</f>
        <v/>
      </c>
      <c r="R15" s="132"/>
      <c r="T15" s="11">
        <v>2</v>
      </c>
      <c r="U15" s="11">
        <v>2</v>
      </c>
      <c r="V15" s="11">
        <v>2</v>
      </c>
    </row>
    <row r="16" spans="2:22" ht="21" x14ac:dyDescent="0.35">
      <c r="B16" s="229" t="s">
        <v>199</v>
      </c>
      <c r="C16" s="56"/>
      <c r="D16" s="671"/>
      <c r="E16" s="671"/>
      <c r="F16" s="207">
        <v>0</v>
      </c>
      <c r="G16" s="53" t="str">
        <f>IF(T16=1," 5th Bath fan exists?","")</f>
        <v/>
      </c>
      <c r="H16" s="53"/>
      <c r="I16" s="189"/>
      <c r="J16" s="210"/>
      <c r="K16" s="53" t="str">
        <f t="shared" si="3"/>
        <v/>
      </c>
      <c r="L16" s="56" t="str">
        <f t="shared" si="0"/>
        <v/>
      </c>
      <c r="M16" s="56"/>
      <c r="N16" s="53"/>
      <c r="O16" s="207">
        <v>1</v>
      </c>
      <c r="P16" s="235" t="str">
        <f t="shared" si="4"/>
        <v/>
      </c>
      <c r="Q16" s="235" t="str">
        <f t="shared" si="5"/>
        <v/>
      </c>
      <c r="R16" s="132"/>
      <c r="T16" s="11">
        <v>2</v>
      </c>
      <c r="U16" s="11">
        <v>2</v>
      </c>
      <c r="V16" s="11">
        <v>2</v>
      </c>
    </row>
    <row r="17" spans="2:22" ht="21" x14ac:dyDescent="0.35">
      <c r="B17" s="229" t="s">
        <v>200</v>
      </c>
      <c r="C17" s="56"/>
      <c r="D17" s="671"/>
      <c r="E17" s="671"/>
      <c r="F17" s="207">
        <v>0</v>
      </c>
      <c r="G17" s="133" t="str">
        <f>IF(T17=1, " 6th Bath fan exists?  ","")</f>
        <v/>
      </c>
      <c r="H17" s="53"/>
      <c r="I17" s="189"/>
      <c r="J17" s="210"/>
      <c r="K17" s="53" t="str">
        <f t="shared" si="3"/>
        <v/>
      </c>
      <c r="L17" s="56" t="str">
        <f t="shared" si="0"/>
        <v/>
      </c>
      <c r="M17" s="56"/>
      <c r="N17" s="53"/>
      <c r="O17" s="207">
        <v>1</v>
      </c>
      <c r="P17" s="235" t="str">
        <f t="shared" si="4"/>
        <v/>
      </c>
      <c r="Q17" s="235" t="str">
        <f t="shared" si="5"/>
        <v/>
      </c>
      <c r="R17" s="132"/>
      <c r="T17" s="11">
        <v>2</v>
      </c>
      <c r="U17" s="11">
        <v>2</v>
      </c>
      <c r="V17" s="11">
        <v>2</v>
      </c>
    </row>
    <row r="18" spans="2:22" ht="21" x14ac:dyDescent="0.35">
      <c r="B18" s="229" t="s">
        <v>201</v>
      </c>
      <c r="C18" s="56"/>
      <c r="D18" s="671"/>
      <c r="E18" s="671"/>
      <c r="F18" s="207">
        <v>0</v>
      </c>
      <c r="G18" s="53" t="str">
        <f>IF(T18=1," 7th Bath fan exists?","")</f>
        <v/>
      </c>
      <c r="H18" s="53"/>
      <c r="I18" s="189"/>
      <c r="J18" s="210"/>
      <c r="K18" s="53" t="str">
        <f t="shared" si="3"/>
        <v/>
      </c>
      <c r="L18" s="56" t="str">
        <f t="shared" si="0"/>
        <v/>
      </c>
      <c r="M18" s="56"/>
      <c r="N18" s="53"/>
      <c r="O18" s="207">
        <v>1</v>
      </c>
      <c r="P18" s="235" t="str">
        <f t="shared" si="4"/>
        <v/>
      </c>
      <c r="Q18" s="235" t="str">
        <f t="shared" si="5"/>
        <v/>
      </c>
      <c r="R18" s="132"/>
      <c r="T18" s="11">
        <v>2</v>
      </c>
      <c r="U18" s="11">
        <v>2</v>
      </c>
      <c r="V18" s="11">
        <v>2</v>
      </c>
    </row>
    <row r="19" spans="2:22" ht="21" x14ac:dyDescent="0.35">
      <c r="B19" s="229" t="s">
        <v>202</v>
      </c>
      <c r="C19" s="56"/>
      <c r="D19" s="671"/>
      <c r="E19" s="671"/>
      <c r="F19" s="207">
        <v>0</v>
      </c>
      <c r="G19" s="133" t="str">
        <f>IF(T19=1, " 8th Bath fan exists?  ","")</f>
        <v/>
      </c>
      <c r="H19" s="53"/>
      <c r="I19" s="189"/>
      <c r="J19" s="210"/>
      <c r="K19" s="53" t="str">
        <f t="shared" si="3"/>
        <v/>
      </c>
      <c r="L19" s="56" t="str">
        <f t="shared" si="0"/>
        <v/>
      </c>
      <c r="M19" s="56"/>
      <c r="N19" s="53"/>
      <c r="O19" s="207">
        <v>1</v>
      </c>
      <c r="P19" s="235" t="str">
        <f t="shared" si="4"/>
        <v/>
      </c>
      <c r="Q19" s="235" t="str">
        <f t="shared" si="5"/>
        <v/>
      </c>
      <c r="R19" s="132"/>
      <c r="T19" s="11">
        <v>2</v>
      </c>
      <c r="U19" s="11">
        <v>2</v>
      </c>
      <c r="V19" s="11">
        <v>2</v>
      </c>
    </row>
    <row r="20" spans="2:22" ht="21" x14ac:dyDescent="0.35">
      <c r="B20" s="229" t="s">
        <v>203</v>
      </c>
      <c r="C20" s="56"/>
      <c r="D20" s="671"/>
      <c r="E20" s="671"/>
      <c r="F20" s="207">
        <v>0</v>
      </c>
      <c r="G20" s="53" t="str">
        <f>IF(T20=1," 9th Bath fan exists?","")</f>
        <v/>
      </c>
      <c r="H20" s="53"/>
      <c r="I20" s="189"/>
      <c r="J20" s="210"/>
      <c r="K20" s="53" t="str">
        <f t="shared" si="3"/>
        <v/>
      </c>
      <c r="L20" s="56" t="str">
        <f t="shared" si="0"/>
        <v/>
      </c>
      <c r="M20" s="56"/>
      <c r="N20" s="53"/>
      <c r="O20" s="207">
        <v>1</v>
      </c>
      <c r="P20" s="235" t="str">
        <f t="shared" si="4"/>
        <v/>
      </c>
      <c r="Q20" s="235" t="str">
        <f t="shared" si="5"/>
        <v/>
      </c>
      <c r="R20" s="132"/>
      <c r="T20" s="11">
        <v>2</v>
      </c>
      <c r="U20" s="11">
        <v>2</v>
      </c>
      <c r="V20" s="11">
        <v>2</v>
      </c>
    </row>
    <row r="21" spans="2:22" ht="21" x14ac:dyDescent="0.35">
      <c r="B21" s="229" t="s">
        <v>204</v>
      </c>
      <c r="C21" s="56"/>
      <c r="D21" s="671"/>
      <c r="E21" s="671"/>
      <c r="F21" s="207">
        <v>0</v>
      </c>
      <c r="G21" s="53" t="str">
        <f>IF(T21=1," 10th Bath fan exists?","")</f>
        <v/>
      </c>
      <c r="H21" s="53"/>
      <c r="I21" s="189"/>
      <c r="J21" s="210"/>
      <c r="K21" s="53" t="str">
        <f t="shared" si="3"/>
        <v/>
      </c>
      <c r="L21" s="56" t="str">
        <f t="shared" si="0"/>
        <v/>
      </c>
      <c r="M21" s="56"/>
      <c r="N21" s="53"/>
      <c r="O21" s="207">
        <v>1</v>
      </c>
      <c r="P21" s="235" t="str">
        <f t="shared" si="4"/>
        <v/>
      </c>
      <c r="Q21" s="235" t="str">
        <f t="shared" si="5"/>
        <v/>
      </c>
      <c r="R21" s="132"/>
      <c r="T21" s="11">
        <v>2</v>
      </c>
      <c r="U21" s="11">
        <v>2</v>
      </c>
      <c r="V21" s="11">
        <v>2</v>
      </c>
    </row>
    <row r="22" spans="2:22" ht="21" x14ac:dyDescent="0.35">
      <c r="B22" s="229" t="s">
        <v>205</v>
      </c>
      <c r="C22" s="56"/>
      <c r="D22" s="671"/>
      <c r="E22" s="671"/>
      <c r="F22" s="207">
        <v>0</v>
      </c>
      <c r="G22" s="53" t="str">
        <f>IF(T22=1," 11th Bath fan exists?","")</f>
        <v/>
      </c>
      <c r="H22" s="53"/>
      <c r="I22" s="189"/>
      <c r="J22" s="210"/>
      <c r="K22" s="53" t="str">
        <f t="shared" si="3"/>
        <v/>
      </c>
      <c r="L22" s="56" t="str">
        <f t="shared" si="0"/>
        <v/>
      </c>
      <c r="M22" s="56"/>
      <c r="N22" s="53"/>
      <c r="O22" s="207">
        <v>1</v>
      </c>
      <c r="P22" s="235" t="str">
        <f t="shared" si="4"/>
        <v/>
      </c>
      <c r="Q22" s="235" t="str">
        <f t="shared" si="5"/>
        <v/>
      </c>
      <c r="R22" s="132"/>
      <c r="T22" s="11">
        <v>2</v>
      </c>
      <c r="U22" s="11">
        <v>2</v>
      </c>
      <c r="V22" s="11">
        <v>2</v>
      </c>
    </row>
    <row r="23" spans="2:22" ht="21" x14ac:dyDescent="0.35">
      <c r="B23" s="209" t="s">
        <v>206</v>
      </c>
      <c r="C23" s="197"/>
      <c r="D23" s="671"/>
      <c r="E23" s="671"/>
      <c r="F23" s="208">
        <v>0</v>
      </c>
      <c r="G23" s="201" t="str">
        <f>IF(T23=1," 12th Bath fan exists?","")</f>
        <v/>
      </c>
      <c r="H23" s="201"/>
      <c r="I23" s="293"/>
      <c r="J23" s="210"/>
      <c r="K23" s="53" t="str">
        <f t="shared" si="3"/>
        <v/>
      </c>
      <c r="L23" s="56" t="str">
        <f t="shared" si="0"/>
        <v/>
      </c>
      <c r="M23" s="197"/>
      <c r="N23" s="201"/>
      <c r="O23" s="208">
        <v>1</v>
      </c>
      <c r="P23" s="235" t="str">
        <f t="shared" si="4"/>
        <v/>
      </c>
      <c r="Q23" s="235" t="str">
        <f t="shared" si="5"/>
        <v/>
      </c>
      <c r="R23" s="132"/>
      <c r="T23" s="11">
        <v>2</v>
      </c>
      <c r="U23" s="11">
        <v>2</v>
      </c>
      <c r="V23" s="11">
        <v>2</v>
      </c>
    </row>
    <row r="24" spans="2:22" ht="19.5" customHeight="1" x14ac:dyDescent="0.25">
      <c r="B24" s="231" t="s">
        <v>157</v>
      </c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90"/>
      <c r="N24" s="90"/>
      <c r="O24" s="90"/>
      <c r="P24" s="90"/>
      <c r="Q24" s="90"/>
      <c r="R24" s="132"/>
    </row>
    <row r="25" spans="2:22" ht="48.75" x14ac:dyDescent="0.35">
      <c r="B25" s="672"/>
      <c r="C25" s="673"/>
      <c r="D25" s="673"/>
      <c r="E25" s="673"/>
      <c r="F25" s="673"/>
      <c r="G25" s="673"/>
      <c r="H25" s="673"/>
      <c r="I25" s="673"/>
      <c r="J25" s="673"/>
      <c r="K25" s="673"/>
      <c r="L25" s="674"/>
      <c r="M25" s="194"/>
      <c r="N25" s="288" t="s">
        <v>192</v>
      </c>
      <c r="O25" s="133"/>
      <c r="P25" s="56" t="s">
        <v>179</v>
      </c>
      <c r="Q25" s="236">
        <f>SUM(Q9:Q23)</f>
        <v>0</v>
      </c>
      <c r="R25" s="134" t="s">
        <v>6</v>
      </c>
    </row>
    <row r="26" spans="2:22" ht="18.75" customHeight="1" thickBot="1" x14ac:dyDescent="0.3">
      <c r="B26" s="675"/>
      <c r="C26" s="676"/>
      <c r="D26" s="676"/>
      <c r="E26" s="676"/>
      <c r="F26" s="676"/>
      <c r="G26" s="676"/>
      <c r="H26" s="676"/>
      <c r="I26" s="676"/>
      <c r="J26" s="676"/>
      <c r="K26" s="676"/>
      <c r="L26" s="677"/>
      <c r="M26" s="195"/>
      <c r="N26" s="195"/>
      <c r="O26" s="195"/>
      <c r="P26" s="195"/>
      <c r="Q26" s="195"/>
      <c r="R26" s="196"/>
    </row>
  </sheetData>
  <sheetProtection algorithmName="SHA-512" hashValue="NKDDCPEJLZVH9Jkefy/znCCUkuz5zeVpzQrWJT1Pj0mort/uBkN3liOsBq5wxkSuxOQYrofdedPDphZmow6Fow==" saltValue="R/bc4se0gXEZoUdRKACTOw==" spinCount="100000" sheet="1" objects="1" scenarios="1" selectLockedCells="1"/>
  <mergeCells count="21">
    <mergeCell ref="B25:L26"/>
    <mergeCell ref="D20:E20"/>
    <mergeCell ref="D21:E21"/>
    <mergeCell ref="D22:E22"/>
    <mergeCell ref="D23:E23"/>
    <mergeCell ref="C24:L24"/>
    <mergeCell ref="D10:E10"/>
    <mergeCell ref="D16:E16"/>
    <mergeCell ref="D17:E17"/>
    <mergeCell ref="D18:E18"/>
    <mergeCell ref="D19:E19"/>
    <mergeCell ref="D11:E11"/>
    <mergeCell ref="D12:E12"/>
    <mergeCell ref="D13:E13"/>
    <mergeCell ref="D14:E14"/>
    <mergeCell ref="D15:E15"/>
    <mergeCell ref="B2:D2"/>
    <mergeCell ref="D8:E8"/>
    <mergeCell ref="B4:D4"/>
    <mergeCell ref="B6:C6"/>
    <mergeCell ref="D9:E9"/>
  </mergeCells>
  <phoneticPr fontId="20" type="noConversion"/>
  <conditionalFormatting sqref="J9">
    <cfRule type="expression" dxfId="26" priority="5">
      <formula>U9=2</formula>
    </cfRule>
    <cfRule type="expression" dxfId="25" priority="17">
      <formula>T9=2</formula>
    </cfRule>
  </conditionalFormatting>
  <conditionalFormatting sqref="J14:J23">
    <cfRule type="expression" dxfId="24" priority="6">
      <formula>T14=2</formula>
    </cfRule>
  </conditionalFormatting>
  <conditionalFormatting sqref="J10:J13">
    <cfRule type="expression" dxfId="23" priority="3">
      <formula>U10=2</formula>
    </cfRule>
    <cfRule type="expression" dxfId="22" priority="4">
      <formula>T10=2</formula>
    </cfRule>
  </conditionalFormatting>
  <conditionalFormatting sqref="J14">
    <cfRule type="expression" dxfId="21" priority="2">
      <formula>U14=2</formula>
    </cfRule>
  </conditionalFormatting>
  <conditionalFormatting sqref="J15:J23">
    <cfRule type="expression" dxfId="20" priority="1">
      <formula>U15=2</formula>
    </cfRule>
  </conditionalFormatting>
  <printOptions horizontalCentered="1" verticalCentered="1"/>
  <pageMargins left="0" right="0" top="0" bottom="0" header="0.3" footer="0.3"/>
  <pageSetup scale="79" orientation="landscape" horizontalDpi="1200" verticalDpi="1200" r:id="rId1"/>
  <headerFooter alignWithMargins="0">
    <oddFooter>&amp;CASHRAE 62.2 2016 Calculator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Option Button 1">
              <controlPr defaultSize="0" autoFill="0" autoLine="0" autoPict="0">
                <anchor moveWithCells="1">
                  <from>
                    <xdr:col>2</xdr:col>
                    <xdr:colOff>152400</xdr:colOff>
                    <xdr:row>8</xdr:row>
                    <xdr:rowOff>85725</xdr:rowOff>
                  </from>
                  <to>
                    <xdr:col>2</xdr:col>
                    <xdr:colOff>314325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Option Button 2">
              <controlPr defaultSize="0" autoFill="0" autoLine="0" autoPict="0">
                <anchor moveWithCells="1">
                  <from>
                    <xdr:col>2</xdr:col>
                    <xdr:colOff>390525</xdr:colOff>
                    <xdr:row>8</xdr:row>
                    <xdr:rowOff>95250</xdr:rowOff>
                  </from>
                  <to>
                    <xdr:col>2</xdr:col>
                    <xdr:colOff>561975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Group Box 3">
              <controlPr defaultSize="0" autoFill="0" autoPict="0">
                <anchor moveWithCells="1">
                  <from>
                    <xdr:col>2</xdr:col>
                    <xdr:colOff>123825</xdr:colOff>
                    <xdr:row>8</xdr:row>
                    <xdr:rowOff>57150</xdr:rowOff>
                  </from>
                  <to>
                    <xdr:col>2</xdr:col>
                    <xdr:colOff>600075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Option Button 4">
              <controlPr defaultSize="0" autoFill="0" autoLine="0" autoPict="0">
                <anchor moveWithCells="1">
                  <from>
                    <xdr:col>2</xdr:col>
                    <xdr:colOff>142875</xdr:colOff>
                    <xdr:row>9</xdr:row>
                    <xdr:rowOff>57150</xdr:rowOff>
                  </from>
                  <to>
                    <xdr:col>2</xdr:col>
                    <xdr:colOff>304800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Option Button 5">
              <controlPr defaultSize="0" autoFill="0" autoLine="0" autoPict="0">
                <anchor moveWithCells="1">
                  <from>
                    <xdr:col>2</xdr:col>
                    <xdr:colOff>381000</xdr:colOff>
                    <xdr:row>9</xdr:row>
                    <xdr:rowOff>66675</xdr:rowOff>
                  </from>
                  <to>
                    <xdr:col>2</xdr:col>
                    <xdr:colOff>552450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Option Button 6">
              <controlPr defaultSize="0" autoFill="0" autoLine="0" autoPict="0">
                <anchor moveWithCells="1">
                  <from>
                    <xdr:col>2</xdr:col>
                    <xdr:colOff>142875</xdr:colOff>
                    <xdr:row>10</xdr:row>
                    <xdr:rowOff>38100</xdr:rowOff>
                  </from>
                  <to>
                    <xdr:col>2</xdr:col>
                    <xdr:colOff>304800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0" name="Option Button 7">
              <controlPr defaultSize="0" autoFill="0" autoLine="0" autoPict="0">
                <anchor moveWithCells="1">
                  <from>
                    <xdr:col>2</xdr:col>
                    <xdr:colOff>381000</xdr:colOff>
                    <xdr:row>10</xdr:row>
                    <xdr:rowOff>47625</xdr:rowOff>
                  </from>
                  <to>
                    <xdr:col>2</xdr:col>
                    <xdr:colOff>552450</xdr:colOff>
                    <xdr:row>10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1" name="Option Button 8">
              <controlPr defaultSize="0" autoFill="0" autoLine="0" autoPict="0">
                <anchor moveWithCells="1">
                  <from>
                    <xdr:col>2</xdr:col>
                    <xdr:colOff>142875</xdr:colOff>
                    <xdr:row>11</xdr:row>
                    <xdr:rowOff>38100</xdr:rowOff>
                  </from>
                  <to>
                    <xdr:col>2</xdr:col>
                    <xdr:colOff>304800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2" name="Option Button 9">
              <controlPr defaultSize="0" autoFill="0" autoLine="0" autoPict="0">
                <anchor moveWithCells="1">
                  <from>
                    <xdr:col>2</xdr:col>
                    <xdr:colOff>381000</xdr:colOff>
                    <xdr:row>11</xdr:row>
                    <xdr:rowOff>47625</xdr:rowOff>
                  </from>
                  <to>
                    <xdr:col>2</xdr:col>
                    <xdr:colOff>552450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3" name="Option Button 10">
              <controlPr defaultSize="0" autoFill="0" autoLine="0" autoPict="0">
                <anchor moveWithCells="1">
                  <from>
                    <xdr:col>2</xdr:col>
                    <xdr:colOff>142875</xdr:colOff>
                    <xdr:row>12</xdr:row>
                    <xdr:rowOff>38100</xdr:rowOff>
                  </from>
                  <to>
                    <xdr:col>2</xdr:col>
                    <xdr:colOff>304800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4" name="Option Button 11">
              <controlPr defaultSize="0" autoFill="0" autoLine="0" autoPict="0">
                <anchor moveWithCells="1">
                  <from>
                    <xdr:col>2</xdr:col>
                    <xdr:colOff>381000</xdr:colOff>
                    <xdr:row>12</xdr:row>
                    <xdr:rowOff>47625</xdr:rowOff>
                  </from>
                  <to>
                    <xdr:col>2</xdr:col>
                    <xdr:colOff>552450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5" name="Option Button 12">
              <controlPr defaultSize="0" autoFill="0" autoLine="0" autoPict="0">
                <anchor moveWithCells="1">
                  <from>
                    <xdr:col>2</xdr:col>
                    <xdr:colOff>142875</xdr:colOff>
                    <xdr:row>13</xdr:row>
                    <xdr:rowOff>66675</xdr:rowOff>
                  </from>
                  <to>
                    <xdr:col>2</xdr:col>
                    <xdr:colOff>304800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6" name="Option Button 13">
              <controlPr defaultSize="0" autoFill="0" autoLine="0" autoPict="0">
                <anchor moveWithCells="1">
                  <from>
                    <xdr:col>2</xdr:col>
                    <xdr:colOff>381000</xdr:colOff>
                    <xdr:row>13</xdr:row>
                    <xdr:rowOff>76200</xdr:rowOff>
                  </from>
                  <to>
                    <xdr:col>2</xdr:col>
                    <xdr:colOff>552450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7" name="Option Button 14">
              <controlPr defaultSize="0" autoFill="0" autoLine="0" autoPict="0">
                <anchor moveWithCells="1">
                  <from>
                    <xdr:col>2</xdr:col>
                    <xdr:colOff>142875</xdr:colOff>
                    <xdr:row>14</xdr:row>
                    <xdr:rowOff>47625</xdr:rowOff>
                  </from>
                  <to>
                    <xdr:col>2</xdr:col>
                    <xdr:colOff>304800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8" name="Option Button 15">
              <controlPr defaultSize="0" autoFill="0" autoLine="0" autoPict="0">
                <anchor moveWithCells="1">
                  <from>
                    <xdr:col>2</xdr:col>
                    <xdr:colOff>381000</xdr:colOff>
                    <xdr:row>14</xdr:row>
                    <xdr:rowOff>57150</xdr:rowOff>
                  </from>
                  <to>
                    <xdr:col>2</xdr:col>
                    <xdr:colOff>552450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9" name="Option Button 16">
              <controlPr defaultSize="0" autoFill="0" autoLine="0" autoPict="0">
                <anchor moveWithCells="1">
                  <from>
                    <xdr:col>2</xdr:col>
                    <xdr:colOff>142875</xdr:colOff>
                    <xdr:row>15</xdr:row>
                    <xdr:rowOff>38100</xdr:rowOff>
                  </from>
                  <to>
                    <xdr:col>2</xdr:col>
                    <xdr:colOff>304800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20" name="Option Button 17">
              <controlPr defaultSize="0" autoFill="0" autoLine="0" autoPict="0">
                <anchor moveWithCells="1">
                  <from>
                    <xdr:col>2</xdr:col>
                    <xdr:colOff>381000</xdr:colOff>
                    <xdr:row>15</xdr:row>
                    <xdr:rowOff>47625</xdr:rowOff>
                  </from>
                  <to>
                    <xdr:col>2</xdr:col>
                    <xdr:colOff>552450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21" name="Option Button 18">
              <controlPr defaultSize="0" autoFill="0" autoLine="0" autoPict="0">
                <anchor moveWithCells="1">
                  <from>
                    <xdr:col>2</xdr:col>
                    <xdr:colOff>142875</xdr:colOff>
                    <xdr:row>16</xdr:row>
                    <xdr:rowOff>47625</xdr:rowOff>
                  </from>
                  <to>
                    <xdr:col>2</xdr:col>
                    <xdr:colOff>304800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22" name="Option Button 19">
              <controlPr defaultSize="0" autoFill="0" autoLine="0" autoPict="0">
                <anchor moveWithCells="1">
                  <from>
                    <xdr:col>2</xdr:col>
                    <xdr:colOff>381000</xdr:colOff>
                    <xdr:row>16</xdr:row>
                    <xdr:rowOff>57150</xdr:rowOff>
                  </from>
                  <to>
                    <xdr:col>2</xdr:col>
                    <xdr:colOff>552450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23" name="Option Button 20">
              <controlPr defaultSize="0" autoFill="0" autoLine="0" autoPict="0">
                <anchor moveWithCells="1">
                  <from>
                    <xdr:col>2</xdr:col>
                    <xdr:colOff>152400</xdr:colOff>
                    <xdr:row>17</xdr:row>
                    <xdr:rowOff>76200</xdr:rowOff>
                  </from>
                  <to>
                    <xdr:col>2</xdr:col>
                    <xdr:colOff>304800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24" name="Option Button 21">
              <controlPr defaultSize="0" autoFill="0" autoLine="0" autoPict="0">
                <anchor moveWithCells="1">
                  <from>
                    <xdr:col>2</xdr:col>
                    <xdr:colOff>390525</xdr:colOff>
                    <xdr:row>17</xdr:row>
                    <xdr:rowOff>76200</xdr:rowOff>
                  </from>
                  <to>
                    <xdr:col>2</xdr:col>
                    <xdr:colOff>552450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25" name="Option Button 22">
              <controlPr defaultSize="0" autoFill="0" autoLine="0" autoPict="0">
                <anchor moveWithCells="1">
                  <from>
                    <xdr:col>2</xdr:col>
                    <xdr:colOff>152400</xdr:colOff>
                    <xdr:row>18</xdr:row>
                    <xdr:rowOff>47625</xdr:rowOff>
                  </from>
                  <to>
                    <xdr:col>2</xdr:col>
                    <xdr:colOff>314325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26" name="Option Button 23">
              <controlPr defaultSize="0" autoFill="0" autoLine="0" autoPict="0">
                <anchor moveWithCells="1">
                  <from>
                    <xdr:col>2</xdr:col>
                    <xdr:colOff>390525</xdr:colOff>
                    <xdr:row>18</xdr:row>
                    <xdr:rowOff>57150</xdr:rowOff>
                  </from>
                  <to>
                    <xdr:col>2</xdr:col>
                    <xdr:colOff>561975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0" r:id="rId27" name="Option Button 24">
              <controlPr defaultSize="0" autoFill="0" autoLine="0" autoPict="0">
                <anchor moveWithCells="1">
                  <from>
                    <xdr:col>2</xdr:col>
                    <xdr:colOff>161925</xdr:colOff>
                    <xdr:row>19</xdr:row>
                    <xdr:rowOff>47625</xdr:rowOff>
                  </from>
                  <to>
                    <xdr:col>2</xdr:col>
                    <xdr:colOff>323850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1" r:id="rId28" name="Option Button 25">
              <controlPr defaultSize="0" autoFill="0" autoLine="0" autoPict="0">
                <anchor moveWithCells="1">
                  <from>
                    <xdr:col>2</xdr:col>
                    <xdr:colOff>400050</xdr:colOff>
                    <xdr:row>19</xdr:row>
                    <xdr:rowOff>57150</xdr:rowOff>
                  </from>
                  <to>
                    <xdr:col>2</xdr:col>
                    <xdr:colOff>571500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29" name="Option Button 30">
              <controlPr defaultSize="0" autoFill="0" autoLine="0" autoPict="0">
                <anchor moveWithCells="1">
                  <from>
                    <xdr:col>2</xdr:col>
                    <xdr:colOff>161925</xdr:colOff>
                    <xdr:row>20</xdr:row>
                    <xdr:rowOff>38100</xdr:rowOff>
                  </from>
                  <to>
                    <xdr:col>2</xdr:col>
                    <xdr:colOff>323850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7" r:id="rId30" name="Option Button 31">
              <controlPr defaultSize="0" autoFill="0" autoLine="0" autoPict="0">
                <anchor moveWithCells="1">
                  <from>
                    <xdr:col>2</xdr:col>
                    <xdr:colOff>400050</xdr:colOff>
                    <xdr:row>20</xdr:row>
                    <xdr:rowOff>47625</xdr:rowOff>
                  </from>
                  <to>
                    <xdr:col>2</xdr:col>
                    <xdr:colOff>571500</xdr:colOff>
                    <xdr:row>20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8" r:id="rId31" name="Option Button 32">
              <controlPr defaultSize="0" autoFill="0" autoLine="0" autoPict="0">
                <anchor moveWithCells="1">
                  <from>
                    <xdr:col>2</xdr:col>
                    <xdr:colOff>161925</xdr:colOff>
                    <xdr:row>21</xdr:row>
                    <xdr:rowOff>47625</xdr:rowOff>
                  </from>
                  <to>
                    <xdr:col>2</xdr:col>
                    <xdr:colOff>323850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9" r:id="rId32" name="Option Button 33">
              <controlPr defaultSize="0" autoFill="0" autoLine="0" autoPict="0">
                <anchor moveWithCells="1">
                  <from>
                    <xdr:col>2</xdr:col>
                    <xdr:colOff>400050</xdr:colOff>
                    <xdr:row>21</xdr:row>
                    <xdr:rowOff>57150</xdr:rowOff>
                  </from>
                  <to>
                    <xdr:col>2</xdr:col>
                    <xdr:colOff>571500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2" r:id="rId33" name="Option Button 36">
              <controlPr defaultSize="0" autoFill="0" autoLine="0" autoPict="0">
                <anchor moveWithCells="1">
                  <from>
                    <xdr:col>2</xdr:col>
                    <xdr:colOff>161925</xdr:colOff>
                    <xdr:row>22</xdr:row>
                    <xdr:rowOff>38100</xdr:rowOff>
                  </from>
                  <to>
                    <xdr:col>2</xdr:col>
                    <xdr:colOff>323850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3" r:id="rId34" name="Option Button 37">
              <controlPr defaultSize="0" autoFill="0" autoLine="0" autoPict="0">
                <anchor moveWithCells="1">
                  <from>
                    <xdr:col>2</xdr:col>
                    <xdr:colOff>400050</xdr:colOff>
                    <xdr:row>22</xdr:row>
                    <xdr:rowOff>47625</xdr:rowOff>
                  </from>
                  <to>
                    <xdr:col>2</xdr:col>
                    <xdr:colOff>571500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4" r:id="rId35" name="Option Button 38">
              <controlPr defaultSize="0" autoFill="0" autoLine="0" autoPict="0">
                <anchor moveWithCells="1">
                  <from>
                    <xdr:col>7</xdr:col>
                    <xdr:colOff>152400</xdr:colOff>
                    <xdr:row>8</xdr:row>
                    <xdr:rowOff>57150</xdr:rowOff>
                  </from>
                  <to>
                    <xdr:col>7</xdr:col>
                    <xdr:colOff>314325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5" r:id="rId36" name="Option Button 39">
              <controlPr defaultSize="0" autoFill="0" autoLine="0" autoPict="0">
                <anchor moveWithCells="1">
                  <from>
                    <xdr:col>7</xdr:col>
                    <xdr:colOff>390525</xdr:colOff>
                    <xdr:row>8</xdr:row>
                    <xdr:rowOff>66675</xdr:rowOff>
                  </from>
                  <to>
                    <xdr:col>7</xdr:col>
                    <xdr:colOff>561975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6" r:id="rId37" name="Option Button 40">
              <controlPr defaultSize="0" autoFill="0" autoLine="0" autoPict="0">
                <anchor moveWithCells="1">
                  <from>
                    <xdr:col>7</xdr:col>
                    <xdr:colOff>161925</xdr:colOff>
                    <xdr:row>9</xdr:row>
                    <xdr:rowOff>38100</xdr:rowOff>
                  </from>
                  <to>
                    <xdr:col>7</xdr:col>
                    <xdr:colOff>323850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7" r:id="rId38" name="Option Button 41">
              <controlPr defaultSize="0" autoFill="0" autoLine="0" autoPict="0">
                <anchor moveWithCells="1">
                  <from>
                    <xdr:col>7</xdr:col>
                    <xdr:colOff>400050</xdr:colOff>
                    <xdr:row>9</xdr:row>
                    <xdr:rowOff>47625</xdr:rowOff>
                  </from>
                  <to>
                    <xdr:col>7</xdr:col>
                    <xdr:colOff>571500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8" r:id="rId39" name="Option Button 42">
              <controlPr defaultSize="0" autoFill="0" autoLine="0" autoPict="0">
                <anchor moveWithCells="1">
                  <from>
                    <xdr:col>7</xdr:col>
                    <xdr:colOff>161925</xdr:colOff>
                    <xdr:row>10</xdr:row>
                    <xdr:rowOff>47625</xdr:rowOff>
                  </from>
                  <to>
                    <xdr:col>7</xdr:col>
                    <xdr:colOff>323850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9" r:id="rId40" name="Option Button 43">
              <controlPr defaultSize="0" autoFill="0" autoLine="0" autoPict="0">
                <anchor moveWithCells="1">
                  <from>
                    <xdr:col>7</xdr:col>
                    <xdr:colOff>400050</xdr:colOff>
                    <xdr:row>10</xdr:row>
                    <xdr:rowOff>57150</xdr:rowOff>
                  </from>
                  <to>
                    <xdr:col>7</xdr:col>
                    <xdr:colOff>571500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0" r:id="rId41" name="Option Button 44">
              <controlPr defaultSize="0" autoFill="0" autoLine="0" autoPict="0">
                <anchor moveWithCells="1">
                  <from>
                    <xdr:col>7</xdr:col>
                    <xdr:colOff>171450</xdr:colOff>
                    <xdr:row>11</xdr:row>
                    <xdr:rowOff>47625</xdr:rowOff>
                  </from>
                  <to>
                    <xdr:col>7</xdr:col>
                    <xdr:colOff>333375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1" r:id="rId42" name="Option Button 45">
              <controlPr defaultSize="0" autoFill="0" autoLine="0" autoPict="0">
                <anchor moveWithCells="1">
                  <from>
                    <xdr:col>7</xdr:col>
                    <xdr:colOff>409575</xdr:colOff>
                    <xdr:row>11</xdr:row>
                    <xdr:rowOff>47625</xdr:rowOff>
                  </from>
                  <to>
                    <xdr:col>7</xdr:col>
                    <xdr:colOff>581025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2" r:id="rId43" name="Option Button 46">
              <controlPr defaultSize="0" autoFill="0" autoLine="0" autoPict="0">
                <anchor moveWithCells="1">
                  <from>
                    <xdr:col>7</xdr:col>
                    <xdr:colOff>171450</xdr:colOff>
                    <xdr:row>12</xdr:row>
                    <xdr:rowOff>47625</xdr:rowOff>
                  </from>
                  <to>
                    <xdr:col>7</xdr:col>
                    <xdr:colOff>333375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3" r:id="rId44" name="Option Button 47">
              <controlPr defaultSize="0" autoFill="0" autoLine="0" autoPict="0">
                <anchor moveWithCells="1">
                  <from>
                    <xdr:col>7</xdr:col>
                    <xdr:colOff>409575</xdr:colOff>
                    <xdr:row>12</xdr:row>
                    <xdr:rowOff>47625</xdr:rowOff>
                  </from>
                  <to>
                    <xdr:col>7</xdr:col>
                    <xdr:colOff>581025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4" r:id="rId45" name="Option Button 48">
              <controlPr defaultSize="0" autoFill="0" autoLine="0" autoPict="0">
                <anchor moveWithCells="1">
                  <from>
                    <xdr:col>7</xdr:col>
                    <xdr:colOff>171450</xdr:colOff>
                    <xdr:row>13</xdr:row>
                    <xdr:rowOff>66675</xdr:rowOff>
                  </from>
                  <to>
                    <xdr:col>7</xdr:col>
                    <xdr:colOff>333375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5" r:id="rId46" name="Option Button 49">
              <controlPr defaultSize="0" autoFill="0" autoLine="0" autoPict="0">
                <anchor moveWithCells="1">
                  <from>
                    <xdr:col>7</xdr:col>
                    <xdr:colOff>409575</xdr:colOff>
                    <xdr:row>13</xdr:row>
                    <xdr:rowOff>66675</xdr:rowOff>
                  </from>
                  <to>
                    <xdr:col>7</xdr:col>
                    <xdr:colOff>581025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6" r:id="rId47" name="Option Button 50">
              <controlPr defaultSize="0" autoFill="0" autoLine="0" autoPict="0">
                <anchor moveWithCells="1">
                  <from>
                    <xdr:col>7</xdr:col>
                    <xdr:colOff>171450</xdr:colOff>
                    <xdr:row>14</xdr:row>
                    <xdr:rowOff>66675</xdr:rowOff>
                  </from>
                  <to>
                    <xdr:col>7</xdr:col>
                    <xdr:colOff>333375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7" r:id="rId48" name="Option Button 51">
              <controlPr defaultSize="0" autoFill="0" autoLine="0" autoPict="0">
                <anchor moveWithCells="1">
                  <from>
                    <xdr:col>7</xdr:col>
                    <xdr:colOff>409575</xdr:colOff>
                    <xdr:row>14</xdr:row>
                    <xdr:rowOff>66675</xdr:rowOff>
                  </from>
                  <to>
                    <xdr:col>7</xdr:col>
                    <xdr:colOff>581025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8" r:id="rId49" name="Option Button 52">
              <controlPr defaultSize="0" autoFill="0" autoLine="0" autoPict="0">
                <anchor moveWithCells="1">
                  <from>
                    <xdr:col>7</xdr:col>
                    <xdr:colOff>171450</xdr:colOff>
                    <xdr:row>15</xdr:row>
                    <xdr:rowOff>47625</xdr:rowOff>
                  </from>
                  <to>
                    <xdr:col>7</xdr:col>
                    <xdr:colOff>333375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9" r:id="rId50" name="Option Button 53">
              <controlPr defaultSize="0" autoFill="0" autoLine="0" autoPict="0">
                <anchor moveWithCells="1">
                  <from>
                    <xdr:col>7</xdr:col>
                    <xdr:colOff>409575</xdr:colOff>
                    <xdr:row>15</xdr:row>
                    <xdr:rowOff>57150</xdr:rowOff>
                  </from>
                  <to>
                    <xdr:col>7</xdr:col>
                    <xdr:colOff>581025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0" r:id="rId51" name="Option Button 54">
              <controlPr defaultSize="0" autoFill="0" autoLine="0" autoPict="0">
                <anchor moveWithCells="1">
                  <from>
                    <xdr:col>7</xdr:col>
                    <xdr:colOff>171450</xdr:colOff>
                    <xdr:row>16</xdr:row>
                    <xdr:rowOff>47625</xdr:rowOff>
                  </from>
                  <to>
                    <xdr:col>7</xdr:col>
                    <xdr:colOff>333375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1" r:id="rId52" name="Option Button 55">
              <controlPr defaultSize="0" autoFill="0" autoLine="0" autoPict="0">
                <anchor moveWithCells="1">
                  <from>
                    <xdr:col>7</xdr:col>
                    <xdr:colOff>409575</xdr:colOff>
                    <xdr:row>16</xdr:row>
                    <xdr:rowOff>57150</xdr:rowOff>
                  </from>
                  <to>
                    <xdr:col>7</xdr:col>
                    <xdr:colOff>581025</xdr:colOff>
                    <xdr:row>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2" r:id="rId53" name="Option Button 56">
              <controlPr defaultSize="0" autoFill="0" autoLine="0" autoPict="0">
                <anchor moveWithCells="1">
                  <from>
                    <xdr:col>7</xdr:col>
                    <xdr:colOff>171450</xdr:colOff>
                    <xdr:row>17</xdr:row>
                    <xdr:rowOff>66675</xdr:rowOff>
                  </from>
                  <to>
                    <xdr:col>7</xdr:col>
                    <xdr:colOff>333375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3" r:id="rId54" name="Option Button 57">
              <controlPr defaultSize="0" autoFill="0" autoLine="0" autoPict="0">
                <anchor moveWithCells="1">
                  <from>
                    <xdr:col>7</xdr:col>
                    <xdr:colOff>409575</xdr:colOff>
                    <xdr:row>17</xdr:row>
                    <xdr:rowOff>76200</xdr:rowOff>
                  </from>
                  <to>
                    <xdr:col>7</xdr:col>
                    <xdr:colOff>581025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4" r:id="rId55" name="Option Button 58">
              <controlPr defaultSize="0" autoFill="0" autoLine="0" autoPict="0">
                <anchor moveWithCells="1">
                  <from>
                    <xdr:col>7</xdr:col>
                    <xdr:colOff>171450</xdr:colOff>
                    <xdr:row>18</xdr:row>
                    <xdr:rowOff>57150</xdr:rowOff>
                  </from>
                  <to>
                    <xdr:col>7</xdr:col>
                    <xdr:colOff>333375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5" r:id="rId56" name="Option Button 59">
              <controlPr defaultSize="0" autoFill="0" autoLine="0" autoPict="0">
                <anchor moveWithCells="1">
                  <from>
                    <xdr:col>7</xdr:col>
                    <xdr:colOff>409575</xdr:colOff>
                    <xdr:row>18</xdr:row>
                    <xdr:rowOff>66675</xdr:rowOff>
                  </from>
                  <to>
                    <xdr:col>7</xdr:col>
                    <xdr:colOff>581025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6" r:id="rId57" name="Option Button 60">
              <controlPr defaultSize="0" autoFill="0" autoLine="0" autoPict="0">
                <anchor moveWithCells="1">
                  <from>
                    <xdr:col>7</xdr:col>
                    <xdr:colOff>171450</xdr:colOff>
                    <xdr:row>19</xdr:row>
                    <xdr:rowOff>66675</xdr:rowOff>
                  </from>
                  <to>
                    <xdr:col>7</xdr:col>
                    <xdr:colOff>333375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7" r:id="rId58" name="Option Button 61">
              <controlPr defaultSize="0" autoFill="0" autoLine="0" autoPict="0">
                <anchor moveWithCells="1">
                  <from>
                    <xdr:col>7</xdr:col>
                    <xdr:colOff>409575</xdr:colOff>
                    <xdr:row>19</xdr:row>
                    <xdr:rowOff>76200</xdr:rowOff>
                  </from>
                  <to>
                    <xdr:col>7</xdr:col>
                    <xdr:colOff>581025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0" r:id="rId59" name="Option Button 64">
              <controlPr defaultSize="0" autoFill="0" autoLine="0" autoPict="0">
                <anchor moveWithCells="1">
                  <from>
                    <xdr:col>7</xdr:col>
                    <xdr:colOff>171450</xdr:colOff>
                    <xdr:row>20</xdr:row>
                    <xdr:rowOff>57150</xdr:rowOff>
                  </from>
                  <to>
                    <xdr:col>7</xdr:col>
                    <xdr:colOff>333375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1" r:id="rId60" name="Option Button 65">
              <controlPr defaultSize="0" autoFill="0" autoLine="0" autoPict="0">
                <anchor moveWithCells="1">
                  <from>
                    <xdr:col>7</xdr:col>
                    <xdr:colOff>409575</xdr:colOff>
                    <xdr:row>20</xdr:row>
                    <xdr:rowOff>66675</xdr:rowOff>
                  </from>
                  <to>
                    <xdr:col>7</xdr:col>
                    <xdr:colOff>581025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2" r:id="rId61" name="Option Button 66">
              <controlPr defaultSize="0" autoFill="0" autoLine="0" autoPict="0">
                <anchor moveWithCells="1">
                  <from>
                    <xdr:col>7</xdr:col>
                    <xdr:colOff>171450</xdr:colOff>
                    <xdr:row>21</xdr:row>
                    <xdr:rowOff>47625</xdr:rowOff>
                  </from>
                  <to>
                    <xdr:col>7</xdr:col>
                    <xdr:colOff>333375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3" r:id="rId62" name="Option Button 67">
              <controlPr defaultSize="0" autoFill="0" autoLine="0" autoPict="0">
                <anchor moveWithCells="1">
                  <from>
                    <xdr:col>7</xdr:col>
                    <xdr:colOff>409575</xdr:colOff>
                    <xdr:row>21</xdr:row>
                    <xdr:rowOff>57150</xdr:rowOff>
                  </from>
                  <to>
                    <xdr:col>7</xdr:col>
                    <xdr:colOff>581025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4" r:id="rId63" name="Option Button 68">
              <controlPr defaultSize="0" autoFill="0" autoLine="0" autoPict="0">
                <anchor moveWithCells="1">
                  <from>
                    <xdr:col>7</xdr:col>
                    <xdr:colOff>180975</xdr:colOff>
                    <xdr:row>22</xdr:row>
                    <xdr:rowOff>47625</xdr:rowOff>
                  </from>
                  <to>
                    <xdr:col>7</xdr:col>
                    <xdr:colOff>342900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5" r:id="rId64" name="Option Button 69">
              <controlPr defaultSize="0" autoFill="0" autoLine="0" autoPict="0">
                <anchor moveWithCells="1">
                  <from>
                    <xdr:col>7</xdr:col>
                    <xdr:colOff>419100</xdr:colOff>
                    <xdr:row>22</xdr:row>
                    <xdr:rowOff>57150</xdr:rowOff>
                  </from>
                  <to>
                    <xdr:col>7</xdr:col>
                    <xdr:colOff>590550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6" r:id="rId65" name="Option Button 70">
              <controlPr defaultSize="0" autoFill="0" autoLine="0" autoPict="0">
                <anchor moveWithCells="1">
                  <from>
                    <xdr:col>13</xdr:col>
                    <xdr:colOff>152400</xdr:colOff>
                    <xdr:row>8</xdr:row>
                    <xdr:rowOff>76200</xdr:rowOff>
                  </from>
                  <to>
                    <xdr:col>13</xdr:col>
                    <xdr:colOff>314325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7" r:id="rId66" name="Option Button 71">
              <controlPr defaultSize="0" autoFill="0" autoLine="0" autoPict="0">
                <anchor moveWithCells="1">
                  <from>
                    <xdr:col>13</xdr:col>
                    <xdr:colOff>390525</xdr:colOff>
                    <xdr:row>8</xdr:row>
                    <xdr:rowOff>85725</xdr:rowOff>
                  </from>
                  <to>
                    <xdr:col>13</xdr:col>
                    <xdr:colOff>561975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0" r:id="rId67" name="Option Button 74">
              <controlPr defaultSize="0" autoFill="0" autoLine="0" autoPict="0">
                <anchor moveWithCells="1">
                  <from>
                    <xdr:col>13</xdr:col>
                    <xdr:colOff>152400</xdr:colOff>
                    <xdr:row>9</xdr:row>
                    <xdr:rowOff>47625</xdr:rowOff>
                  </from>
                  <to>
                    <xdr:col>13</xdr:col>
                    <xdr:colOff>314325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1" r:id="rId68" name="Option Button 75">
              <controlPr defaultSize="0" autoFill="0" autoLine="0" autoPict="0">
                <anchor moveWithCells="1">
                  <from>
                    <xdr:col>13</xdr:col>
                    <xdr:colOff>390525</xdr:colOff>
                    <xdr:row>9</xdr:row>
                    <xdr:rowOff>57150</xdr:rowOff>
                  </from>
                  <to>
                    <xdr:col>13</xdr:col>
                    <xdr:colOff>561975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2" r:id="rId69" name="Option Button 76">
              <controlPr defaultSize="0" autoFill="0" autoLine="0" autoPict="0">
                <anchor moveWithCells="1">
                  <from>
                    <xdr:col>13</xdr:col>
                    <xdr:colOff>161925</xdr:colOff>
                    <xdr:row>10</xdr:row>
                    <xdr:rowOff>57150</xdr:rowOff>
                  </from>
                  <to>
                    <xdr:col>13</xdr:col>
                    <xdr:colOff>323850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3" r:id="rId70" name="Option Button 77">
              <controlPr defaultSize="0" autoFill="0" autoLine="0" autoPict="0">
                <anchor moveWithCells="1">
                  <from>
                    <xdr:col>13</xdr:col>
                    <xdr:colOff>400050</xdr:colOff>
                    <xdr:row>10</xdr:row>
                    <xdr:rowOff>66675</xdr:rowOff>
                  </from>
                  <to>
                    <xdr:col>13</xdr:col>
                    <xdr:colOff>571500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4" r:id="rId71" name="Option Button 78">
              <controlPr defaultSize="0" autoFill="0" autoLine="0" autoPict="0">
                <anchor moveWithCells="1">
                  <from>
                    <xdr:col>13</xdr:col>
                    <xdr:colOff>152400</xdr:colOff>
                    <xdr:row>11</xdr:row>
                    <xdr:rowOff>47625</xdr:rowOff>
                  </from>
                  <to>
                    <xdr:col>13</xdr:col>
                    <xdr:colOff>314325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5" r:id="rId72" name="Option Button 79">
              <controlPr defaultSize="0" autoFill="0" autoLine="0" autoPict="0">
                <anchor moveWithCells="1">
                  <from>
                    <xdr:col>13</xdr:col>
                    <xdr:colOff>390525</xdr:colOff>
                    <xdr:row>11</xdr:row>
                    <xdr:rowOff>57150</xdr:rowOff>
                  </from>
                  <to>
                    <xdr:col>13</xdr:col>
                    <xdr:colOff>561975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6" r:id="rId73" name="Option Button 80">
              <controlPr defaultSize="0" autoFill="0" autoLine="0" autoPict="0">
                <anchor moveWithCells="1">
                  <from>
                    <xdr:col>13</xdr:col>
                    <xdr:colOff>152400</xdr:colOff>
                    <xdr:row>12</xdr:row>
                    <xdr:rowOff>38100</xdr:rowOff>
                  </from>
                  <to>
                    <xdr:col>13</xdr:col>
                    <xdr:colOff>314325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7" r:id="rId74" name="Option Button 81">
              <controlPr defaultSize="0" autoFill="0" autoLine="0" autoPict="0">
                <anchor moveWithCells="1">
                  <from>
                    <xdr:col>13</xdr:col>
                    <xdr:colOff>390525</xdr:colOff>
                    <xdr:row>12</xdr:row>
                    <xdr:rowOff>47625</xdr:rowOff>
                  </from>
                  <to>
                    <xdr:col>13</xdr:col>
                    <xdr:colOff>561975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8" r:id="rId75" name="Option Button 82">
              <controlPr defaultSize="0" autoFill="0" autoLine="0" autoPict="0">
                <anchor moveWithCells="1">
                  <from>
                    <xdr:col>13</xdr:col>
                    <xdr:colOff>152400</xdr:colOff>
                    <xdr:row>13</xdr:row>
                    <xdr:rowOff>66675</xdr:rowOff>
                  </from>
                  <to>
                    <xdr:col>13</xdr:col>
                    <xdr:colOff>314325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9" r:id="rId76" name="Option Button 83">
              <controlPr defaultSize="0" autoFill="0" autoLine="0" autoPict="0">
                <anchor moveWithCells="1">
                  <from>
                    <xdr:col>13</xdr:col>
                    <xdr:colOff>390525</xdr:colOff>
                    <xdr:row>13</xdr:row>
                    <xdr:rowOff>76200</xdr:rowOff>
                  </from>
                  <to>
                    <xdr:col>13</xdr:col>
                    <xdr:colOff>561975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0" r:id="rId77" name="Option Button 84">
              <controlPr defaultSize="0" autoFill="0" autoLine="0" autoPict="0">
                <anchor moveWithCells="1">
                  <from>
                    <xdr:col>13</xdr:col>
                    <xdr:colOff>152400</xdr:colOff>
                    <xdr:row>14</xdr:row>
                    <xdr:rowOff>76200</xdr:rowOff>
                  </from>
                  <to>
                    <xdr:col>13</xdr:col>
                    <xdr:colOff>314325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1" r:id="rId78" name="Option Button 85">
              <controlPr defaultSize="0" autoFill="0" autoLine="0" autoPict="0">
                <anchor moveWithCells="1">
                  <from>
                    <xdr:col>13</xdr:col>
                    <xdr:colOff>390525</xdr:colOff>
                    <xdr:row>14</xdr:row>
                    <xdr:rowOff>85725</xdr:rowOff>
                  </from>
                  <to>
                    <xdr:col>13</xdr:col>
                    <xdr:colOff>561975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2" r:id="rId79" name="Option Button 86">
              <controlPr defaultSize="0" autoFill="0" autoLine="0" autoPict="0">
                <anchor moveWithCells="1">
                  <from>
                    <xdr:col>13</xdr:col>
                    <xdr:colOff>161925</xdr:colOff>
                    <xdr:row>15</xdr:row>
                    <xdr:rowOff>66675</xdr:rowOff>
                  </from>
                  <to>
                    <xdr:col>13</xdr:col>
                    <xdr:colOff>323850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3" r:id="rId80" name="Option Button 87">
              <controlPr defaultSize="0" autoFill="0" autoLine="0" autoPict="0">
                <anchor moveWithCells="1">
                  <from>
                    <xdr:col>13</xdr:col>
                    <xdr:colOff>400050</xdr:colOff>
                    <xdr:row>15</xdr:row>
                    <xdr:rowOff>76200</xdr:rowOff>
                  </from>
                  <to>
                    <xdr:col>13</xdr:col>
                    <xdr:colOff>571500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4" r:id="rId81" name="Option Button 88">
              <controlPr defaultSize="0" autoFill="0" autoLine="0" autoPict="0">
                <anchor moveWithCells="1">
                  <from>
                    <xdr:col>13</xdr:col>
                    <xdr:colOff>161925</xdr:colOff>
                    <xdr:row>16</xdr:row>
                    <xdr:rowOff>57150</xdr:rowOff>
                  </from>
                  <to>
                    <xdr:col>13</xdr:col>
                    <xdr:colOff>323850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5" r:id="rId82" name="Option Button 89">
              <controlPr defaultSize="0" autoFill="0" autoLine="0" autoPict="0">
                <anchor moveWithCells="1">
                  <from>
                    <xdr:col>13</xdr:col>
                    <xdr:colOff>400050</xdr:colOff>
                    <xdr:row>16</xdr:row>
                    <xdr:rowOff>66675</xdr:rowOff>
                  </from>
                  <to>
                    <xdr:col>13</xdr:col>
                    <xdr:colOff>571500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6" r:id="rId83" name="Option Button 90">
              <controlPr defaultSize="0" autoFill="0" autoLine="0" autoPict="0">
                <anchor moveWithCells="1">
                  <from>
                    <xdr:col>13</xdr:col>
                    <xdr:colOff>161925</xdr:colOff>
                    <xdr:row>17</xdr:row>
                    <xdr:rowOff>57150</xdr:rowOff>
                  </from>
                  <to>
                    <xdr:col>13</xdr:col>
                    <xdr:colOff>323850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7" r:id="rId84" name="Option Button 91">
              <controlPr defaultSize="0" autoFill="0" autoLine="0" autoPict="0">
                <anchor moveWithCells="1">
                  <from>
                    <xdr:col>13</xdr:col>
                    <xdr:colOff>400050</xdr:colOff>
                    <xdr:row>17</xdr:row>
                    <xdr:rowOff>66675</xdr:rowOff>
                  </from>
                  <to>
                    <xdr:col>13</xdr:col>
                    <xdr:colOff>571500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8" r:id="rId85" name="Option Button 92">
              <controlPr defaultSize="0" autoFill="0" autoLine="0" autoPict="0">
                <anchor moveWithCells="1">
                  <from>
                    <xdr:col>13</xdr:col>
                    <xdr:colOff>161925</xdr:colOff>
                    <xdr:row>18</xdr:row>
                    <xdr:rowOff>38100</xdr:rowOff>
                  </from>
                  <to>
                    <xdr:col>13</xdr:col>
                    <xdr:colOff>323850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9" r:id="rId86" name="Option Button 93">
              <controlPr defaultSize="0" autoFill="0" autoLine="0" autoPict="0">
                <anchor moveWithCells="1">
                  <from>
                    <xdr:col>13</xdr:col>
                    <xdr:colOff>400050</xdr:colOff>
                    <xdr:row>18</xdr:row>
                    <xdr:rowOff>47625</xdr:rowOff>
                  </from>
                  <to>
                    <xdr:col>13</xdr:col>
                    <xdr:colOff>571500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0" r:id="rId87" name="Option Button 94">
              <controlPr defaultSize="0" autoFill="0" autoLine="0" autoPict="0">
                <anchor moveWithCells="1">
                  <from>
                    <xdr:col>13</xdr:col>
                    <xdr:colOff>161925</xdr:colOff>
                    <xdr:row>19</xdr:row>
                    <xdr:rowOff>47625</xdr:rowOff>
                  </from>
                  <to>
                    <xdr:col>13</xdr:col>
                    <xdr:colOff>323850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1" r:id="rId88" name="Option Button 95">
              <controlPr defaultSize="0" autoFill="0" autoLine="0" autoPict="0">
                <anchor moveWithCells="1">
                  <from>
                    <xdr:col>13</xdr:col>
                    <xdr:colOff>400050</xdr:colOff>
                    <xdr:row>19</xdr:row>
                    <xdr:rowOff>57150</xdr:rowOff>
                  </from>
                  <to>
                    <xdr:col>13</xdr:col>
                    <xdr:colOff>571500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2" r:id="rId89" name="Option Button 96">
              <controlPr defaultSize="0" autoFill="0" autoLine="0" autoPict="0">
                <anchor moveWithCells="1">
                  <from>
                    <xdr:col>13</xdr:col>
                    <xdr:colOff>161925</xdr:colOff>
                    <xdr:row>20</xdr:row>
                    <xdr:rowOff>57150</xdr:rowOff>
                  </from>
                  <to>
                    <xdr:col>13</xdr:col>
                    <xdr:colOff>323850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3" r:id="rId90" name="Option Button 97">
              <controlPr defaultSize="0" autoFill="0" autoLine="0" autoPict="0">
                <anchor moveWithCells="1">
                  <from>
                    <xdr:col>13</xdr:col>
                    <xdr:colOff>400050</xdr:colOff>
                    <xdr:row>20</xdr:row>
                    <xdr:rowOff>66675</xdr:rowOff>
                  </from>
                  <to>
                    <xdr:col>13</xdr:col>
                    <xdr:colOff>571500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4" r:id="rId91" name="Option Button 98">
              <controlPr defaultSize="0" autoFill="0" autoLine="0" autoPict="0">
                <anchor moveWithCells="1">
                  <from>
                    <xdr:col>13</xdr:col>
                    <xdr:colOff>171450</xdr:colOff>
                    <xdr:row>21</xdr:row>
                    <xdr:rowOff>57150</xdr:rowOff>
                  </from>
                  <to>
                    <xdr:col>13</xdr:col>
                    <xdr:colOff>333375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5" r:id="rId92" name="Option Button 99">
              <controlPr defaultSize="0" autoFill="0" autoLine="0" autoPict="0">
                <anchor moveWithCells="1">
                  <from>
                    <xdr:col>13</xdr:col>
                    <xdr:colOff>409575</xdr:colOff>
                    <xdr:row>21</xdr:row>
                    <xdr:rowOff>66675</xdr:rowOff>
                  </from>
                  <to>
                    <xdr:col>13</xdr:col>
                    <xdr:colOff>581025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6" r:id="rId93" name="Option Button 100">
              <controlPr defaultSize="0" autoFill="0" autoLine="0" autoPict="0">
                <anchor moveWithCells="1">
                  <from>
                    <xdr:col>13</xdr:col>
                    <xdr:colOff>161925</xdr:colOff>
                    <xdr:row>22</xdr:row>
                    <xdr:rowOff>47625</xdr:rowOff>
                  </from>
                  <to>
                    <xdr:col>13</xdr:col>
                    <xdr:colOff>323850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7" r:id="rId94" name="Option Button 101">
              <controlPr defaultSize="0" autoFill="0" autoLine="0" autoPict="0">
                <anchor moveWithCells="1">
                  <from>
                    <xdr:col>13</xdr:col>
                    <xdr:colOff>400050</xdr:colOff>
                    <xdr:row>22</xdr:row>
                    <xdr:rowOff>57150</xdr:rowOff>
                  </from>
                  <to>
                    <xdr:col>13</xdr:col>
                    <xdr:colOff>571500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8" r:id="rId95" name="Group Box 102">
              <controlPr defaultSize="0" autoFill="0" autoPict="0">
                <anchor moveWithCells="1">
                  <from>
                    <xdr:col>2</xdr:col>
                    <xdr:colOff>123825</xdr:colOff>
                    <xdr:row>9</xdr:row>
                    <xdr:rowOff>38100</xdr:rowOff>
                  </from>
                  <to>
                    <xdr:col>2</xdr:col>
                    <xdr:colOff>600075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9" r:id="rId96" name="Group Box 103">
              <controlPr defaultSize="0" autoFill="0" autoPict="0">
                <anchor moveWithCells="1">
                  <from>
                    <xdr:col>2</xdr:col>
                    <xdr:colOff>133350</xdr:colOff>
                    <xdr:row>10</xdr:row>
                    <xdr:rowOff>9525</xdr:rowOff>
                  </from>
                  <to>
                    <xdr:col>2</xdr:col>
                    <xdr:colOff>609600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0" r:id="rId97" name="Group Box 104">
              <controlPr defaultSize="0" autoFill="0" autoPict="0">
                <anchor moveWithCells="1">
                  <from>
                    <xdr:col>2</xdr:col>
                    <xdr:colOff>133350</xdr:colOff>
                    <xdr:row>11</xdr:row>
                    <xdr:rowOff>9525</xdr:rowOff>
                  </from>
                  <to>
                    <xdr:col>2</xdr:col>
                    <xdr:colOff>619125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1" r:id="rId98" name="Group Box 105">
              <controlPr defaultSize="0" autoFill="0" autoPict="0">
                <anchor moveWithCells="1">
                  <from>
                    <xdr:col>2</xdr:col>
                    <xdr:colOff>133350</xdr:colOff>
                    <xdr:row>12</xdr:row>
                    <xdr:rowOff>0</xdr:rowOff>
                  </from>
                  <to>
                    <xdr:col>2</xdr:col>
                    <xdr:colOff>609600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2" r:id="rId99" name="Group Box 106">
              <controlPr defaultSize="0" autoFill="0" autoPict="0">
                <anchor moveWithCells="1">
                  <from>
                    <xdr:col>2</xdr:col>
                    <xdr:colOff>123825</xdr:colOff>
                    <xdr:row>13</xdr:row>
                    <xdr:rowOff>38100</xdr:rowOff>
                  </from>
                  <to>
                    <xdr:col>2</xdr:col>
                    <xdr:colOff>609600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3" r:id="rId100" name="Group Box 107">
              <controlPr defaultSize="0" autoFill="0" autoPict="0">
                <anchor moveWithCells="1">
                  <from>
                    <xdr:col>2</xdr:col>
                    <xdr:colOff>133350</xdr:colOff>
                    <xdr:row>14</xdr:row>
                    <xdr:rowOff>19050</xdr:rowOff>
                  </from>
                  <to>
                    <xdr:col>2</xdr:col>
                    <xdr:colOff>619125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4" r:id="rId101" name="Group Box 108">
              <controlPr defaultSize="0" autoFill="0" autoPict="0">
                <anchor moveWithCells="1">
                  <from>
                    <xdr:col>2</xdr:col>
                    <xdr:colOff>133350</xdr:colOff>
                    <xdr:row>15</xdr:row>
                    <xdr:rowOff>19050</xdr:rowOff>
                  </from>
                  <to>
                    <xdr:col>2</xdr:col>
                    <xdr:colOff>628650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5" r:id="rId102" name="Group Box 109">
              <controlPr defaultSize="0" autoFill="0" autoPict="0">
                <anchor moveWithCells="1">
                  <from>
                    <xdr:col>2</xdr:col>
                    <xdr:colOff>123825</xdr:colOff>
                    <xdr:row>16</xdr:row>
                    <xdr:rowOff>19050</xdr:rowOff>
                  </from>
                  <to>
                    <xdr:col>2</xdr:col>
                    <xdr:colOff>619125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6" r:id="rId103" name="Group Box 110">
              <controlPr defaultSize="0" autoFill="0" autoPict="0">
                <anchor moveWithCells="1">
                  <from>
                    <xdr:col>2</xdr:col>
                    <xdr:colOff>133350</xdr:colOff>
                    <xdr:row>17</xdr:row>
                    <xdr:rowOff>38100</xdr:rowOff>
                  </from>
                  <to>
                    <xdr:col>2</xdr:col>
                    <xdr:colOff>619125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7" r:id="rId104" name="Group Box 111">
              <controlPr defaultSize="0" autoFill="0" autoPict="0">
                <anchor moveWithCells="1">
                  <from>
                    <xdr:col>2</xdr:col>
                    <xdr:colOff>133350</xdr:colOff>
                    <xdr:row>18</xdr:row>
                    <xdr:rowOff>28575</xdr:rowOff>
                  </from>
                  <to>
                    <xdr:col>2</xdr:col>
                    <xdr:colOff>628650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8" r:id="rId105" name="Group Box 112">
              <controlPr defaultSize="0" autoFill="0" autoPict="0">
                <anchor moveWithCells="1">
                  <from>
                    <xdr:col>2</xdr:col>
                    <xdr:colOff>133350</xdr:colOff>
                    <xdr:row>19</xdr:row>
                    <xdr:rowOff>28575</xdr:rowOff>
                  </from>
                  <to>
                    <xdr:col>2</xdr:col>
                    <xdr:colOff>628650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9" r:id="rId106" name="Group Box 113">
              <controlPr defaultSize="0" autoFill="0" autoPict="0">
                <anchor moveWithCells="1">
                  <from>
                    <xdr:col>2</xdr:col>
                    <xdr:colOff>133350</xdr:colOff>
                    <xdr:row>20</xdr:row>
                    <xdr:rowOff>19050</xdr:rowOff>
                  </from>
                  <to>
                    <xdr:col>2</xdr:col>
                    <xdr:colOff>628650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0" r:id="rId107" name="Group Box 114">
              <controlPr defaultSize="0" autoFill="0" autoPict="0">
                <anchor moveWithCells="1">
                  <from>
                    <xdr:col>2</xdr:col>
                    <xdr:colOff>133350</xdr:colOff>
                    <xdr:row>21</xdr:row>
                    <xdr:rowOff>19050</xdr:rowOff>
                  </from>
                  <to>
                    <xdr:col>2</xdr:col>
                    <xdr:colOff>628650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1" r:id="rId108" name="Group Box 115">
              <controlPr defaultSize="0" autoFill="0" autoPict="0">
                <anchor moveWithCells="1">
                  <from>
                    <xdr:col>2</xdr:col>
                    <xdr:colOff>133350</xdr:colOff>
                    <xdr:row>22</xdr:row>
                    <xdr:rowOff>9525</xdr:rowOff>
                  </from>
                  <to>
                    <xdr:col>2</xdr:col>
                    <xdr:colOff>628650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2" r:id="rId109" name="Group Box 116">
              <controlPr defaultSize="0" autoFill="0" autoPict="0">
                <anchor moveWithCells="1">
                  <from>
                    <xdr:col>7</xdr:col>
                    <xdr:colOff>133350</xdr:colOff>
                    <xdr:row>8</xdr:row>
                    <xdr:rowOff>28575</xdr:rowOff>
                  </from>
                  <to>
                    <xdr:col>7</xdr:col>
                    <xdr:colOff>628650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3" r:id="rId110" name="Group Box 117">
              <controlPr defaultSize="0" autoFill="0" autoPict="0">
                <anchor moveWithCells="1">
                  <from>
                    <xdr:col>7</xdr:col>
                    <xdr:colOff>133350</xdr:colOff>
                    <xdr:row>9</xdr:row>
                    <xdr:rowOff>9525</xdr:rowOff>
                  </from>
                  <to>
                    <xdr:col>7</xdr:col>
                    <xdr:colOff>628650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4" r:id="rId111" name="Group Box 118">
              <controlPr defaultSize="0" autoFill="0" autoPict="0">
                <anchor moveWithCells="1">
                  <from>
                    <xdr:col>7</xdr:col>
                    <xdr:colOff>133350</xdr:colOff>
                    <xdr:row>10</xdr:row>
                    <xdr:rowOff>19050</xdr:rowOff>
                  </from>
                  <to>
                    <xdr:col>7</xdr:col>
                    <xdr:colOff>628650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5" r:id="rId112" name="Group Box 119">
              <controlPr defaultSize="0" autoFill="0" autoPict="0">
                <anchor moveWithCells="1">
                  <from>
                    <xdr:col>7</xdr:col>
                    <xdr:colOff>133350</xdr:colOff>
                    <xdr:row>11</xdr:row>
                    <xdr:rowOff>19050</xdr:rowOff>
                  </from>
                  <to>
                    <xdr:col>7</xdr:col>
                    <xdr:colOff>628650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6" r:id="rId113" name="Group Box 120">
              <controlPr defaultSize="0" autoFill="0" autoPict="0">
                <anchor moveWithCells="1">
                  <from>
                    <xdr:col>7</xdr:col>
                    <xdr:colOff>133350</xdr:colOff>
                    <xdr:row>12</xdr:row>
                    <xdr:rowOff>19050</xdr:rowOff>
                  </from>
                  <to>
                    <xdr:col>7</xdr:col>
                    <xdr:colOff>628650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7" r:id="rId114" name="Group Box 121">
              <controlPr defaultSize="0" autoFill="0" autoPict="0">
                <anchor moveWithCells="1">
                  <from>
                    <xdr:col>7</xdr:col>
                    <xdr:colOff>133350</xdr:colOff>
                    <xdr:row>13</xdr:row>
                    <xdr:rowOff>38100</xdr:rowOff>
                  </from>
                  <to>
                    <xdr:col>7</xdr:col>
                    <xdr:colOff>628650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8" r:id="rId115" name="Group Box 122">
              <controlPr defaultSize="0" autoFill="0" autoPict="0">
                <anchor moveWithCells="1">
                  <from>
                    <xdr:col>7</xdr:col>
                    <xdr:colOff>133350</xdr:colOff>
                    <xdr:row>14</xdr:row>
                    <xdr:rowOff>38100</xdr:rowOff>
                  </from>
                  <to>
                    <xdr:col>7</xdr:col>
                    <xdr:colOff>628650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9" r:id="rId116" name="Group Box 123">
              <controlPr defaultSize="0" autoFill="0" autoPict="0">
                <anchor moveWithCells="1">
                  <from>
                    <xdr:col>7</xdr:col>
                    <xdr:colOff>142875</xdr:colOff>
                    <xdr:row>15</xdr:row>
                    <xdr:rowOff>19050</xdr:rowOff>
                  </from>
                  <to>
                    <xdr:col>7</xdr:col>
                    <xdr:colOff>638175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0" r:id="rId117" name="Group Box 124">
              <controlPr defaultSize="0" autoFill="0" autoPict="0">
                <anchor moveWithCells="1">
                  <from>
                    <xdr:col>7</xdr:col>
                    <xdr:colOff>142875</xdr:colOff>
                    <xdr:row>16</xdr:row>
                    <xdr:rowOff>28575</xdr:rowOff>
                  </from>
                  <to>
                    <xdr:col>7</xdr:col>
                    <xdr:colOff>638175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1" r:id="rId118" name="Group Box 125">
              <controlPr defaultSize="0" autoFill="0" autoPict="0">
                <anchor moveWithCells="1">
                  <from>
                    <xdr:col>7</xdr:col>
                    <xdr:colOff>133350</xdr:colOff>
                    <xdr:row>17</xdr:row>
                    <xdr:rowOff>38100</xdr:rowOff>
                  </from>
                  <to>
                    <xdr:col>7</xdr:col>
                    <xdr:colOff>628650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2" r:id="rId119" name="Group Box 126">
              <controlPr defaultSize="0" autoFill="0" autoPict="0">
                <anchor moveWithCells="1">
                  <from>
                    <xdr:col>7</xdr:col>
                    <xdr:colOff>142875</xdr:colOff>
                    <xdr:row>18</xdr:row>
                    <xdr:rowOff>38100</xdr:rowOff>
                  </from>
                  <to>
                    <xdr:col>7</xdr:col>
                    <xdr:colOff>638175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3" r:id="rId120" name="Group Box 127">
              <controlPr defaultSize="0" autoFill="0" autoPict="0">
                <anchor moveWithCells="1">
                  <from>
                    <xdr:col>7</xdr:col>
                    <xdr:colOff>142875</xdr:colOff>
                    <xdr:row>19</xdr:row>
                    <xdr:rowOff>47625</xdr:rowOff>
                  </from>
                  <to>
                    <xdr:col>7</xdr:col>
                    <xdr:colOff>638175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4" r:id="rId121" name="Group Box 128">
              <controlPr defaultSize="0" autoFill="0" autoPict="0">
                <anchor moveWithCells="1">
                  <from>
                    <xdr:col>7</xdr:col>
                    <xdr:colOff>142875</xdr:colOff>
                    <xdr:row>20</xdr:row>
                    <xdr:rowOff>28575</xdr:rowOff>
                  </from>
                  <to>
                    <xdr:col>7</xdr:col>
                    <xdr:colOff>638175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5" r:id="rId122" name="Group Box 129">
              <controlPr defaultSize="0" autoFill="0" autoPict="0">
                <anchor moveWithCells="1">
                  <from>
                    <xdr:col>7</xdr:col>
                    <xdr:colOff>142875</xdr:colOff>
                    <xdr:row>21</xdr:row>
                    <xdr:rowOff>28575</xdr:rowOff>
                  </from>
                  <to>
                    <xdr:col>7</xdr:col>
                    <xdr:colOff>638175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6" r:id="rId123" name="Group Box 130">
              <controlPr defaultSize="0" autoFill="0" autoPict="0">
                <anchor moveWithCells="1">
                  <from>
                    <xdr:col>7</xdr:col>
                    <xdr:colOff>142875</xdr:colOff>
                    <xdr:row>22</xdr:row>
                    <xdr:rowOff>28575</xdr:rowOff>
                  </from>
                  <to>
                    <xdr:col>7</xdr:col>
                    <xdr:colOff>638175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7" r:id="rId124" name="Group Box 131">
              <controlPr defaultSize="0" autoFill="0" autoPict="0">
                <anchor moveWithCells="1">
                  <from>
                    <xdr:col>13</xdr:col>
                    <xdr:colOff>133350</xdr:colOff>
                    <xdr:row>8</xdr:row>
                    <xdr:rowOff>47625</xdr:rowOff>
                  </from>
                  <to>
                    <xdr:col>13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8" r:id="rId125" name="Group Box 132">
              <controlPr defaultSize="0" autoFill="0" autoPict="0">
                <anchor moveWithCells="1">
                  <from>
                    <xdr:col>13</xdr:col>
                    <xdr:colOff>133350</xdr:colOff>
                    <xdr:row>9</xdr:row>
                    <xdr:rowOff>28575</xdr:rowOff>
                  </from>
                  <to>
                    <xdr:col>13</xdr:col>
                    <xdr:colOff>628650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9" r:id="rId126" name="Group Box 133">
              <controlPr defaultSize="0" autoFill="0" autoPict="0">
                <anchor moveWithCells="1">
                  <from>
                    <xdr:col>13</xdr:col>
                    <xdr:colOff>133350</xdr:colOff>
                    <xdr:row>10</xdr:row>
                    <xdr:rowOff>19050</xdr:rowOff>
                  </from>
                  <to>
                    <xdr:col>13</xdr:col>
                    <xdr:colOff>628650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0" r:id="rId127" name="Group Box 134">
              <controlPr defaultSize="0" autoFill="0" autoPict="0">
                <anchor moveWithCells="1">
                  <from>
                    <xdr:col>13</xdr:col>
                    <xdr:colOff>133350</xdr:colOff>
                    <xdr:row>11</xdr:row>
                    <xdr:rowOff>19050</xdr:rowOff>
                  </from>
                  <to>
                    <xdr:col>13</xdr:col>
                    <xdr:colOff>628650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1" r:id="rId128" name="Group Box 135">
              <controlPr defaultSize="0" autoFill="0" autoPict="0">
                <anchor moveWithCells="1">
                  <from>
                    <xdr:col>13</xdr:col>
                    <xdr:colOff>133350</xdr:colOff>
                    <xdr:row>12</xdr:row>
                    <xdr:rowOff>19050</xdr:rowOff>
                  </from>
                  <to>
                    <xdr:col>13</xdr:col>
                    <xdr:colOff>628650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3" r:id="rId129" name="Group Box 137">
              <controlPr defaultSize="0" autoFill="0" autoPict="0">
                <anchor moveWithCells="1">
                  <from>
                    <xdr:col>13</xdr:col>
                    <xdr:colOff>133350</xdr:colOff>
                    <xdr:row>13</xdr:row>
                    <xdr:rowOff>38100</xdr:rowOff>
                  </from>
                  <to>
                    <xdr:col>13</xdr:col>
                    <xdr:colOff>628650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4" r:id="rId130" name="Group Box 138">
              <controlPr defaultSize="0" autoFill="0" autoPict="0">
                <anchor moveWithCells="1">
                  <from>
                    <xdr:col>13</xdr:col>
                    <xdr:colOff>133350</xdr:colOff>
                    <xdr:row>14</xdr:row>
                    <xdr:rowOff>47625</xdr:rowOff>
                  </from>
                  <to>
                    <xdr:col>13</xdr:col>
                    <xdr:colOff>628650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5" r:id="rId131" name="Group Box 139">
              <controlPr defaultSize="0" autoFill="0" autoPict="0">
                <anchor moveWithCells="1">
                  <from>
                    <xdr:col>13</xdr:col>
                    <xdr:colOff>133350</xdr:colOff>
                    <xdr:row>15</xdr:row>
                    <xdr:rowOff>47625</xdr:rowOff>
                  </from>
                  <to>
                    <xdr:col>13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6" r:id="rId132" name="Group Box 140">
              <controlPr defaultSize="0" autoFill="0" autoPict="0">
                <anchor moveWithCells="1">
                  <from>
                    <xdr:col>13</xdr:col>
                    <xdr:colOff>142875</xdr:colOff>
                    <xdr:row>16</xdr:row>
                    <xdr:rowOff>28575</xdr:rowOff>
                  </from>
                  <to>
                    <xdr:col>13</xdr:col>
                    <xdr:colOff>638175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7" r:id="rId133" name="Group Box 141">
              <controlPr defaultSize="0" autoFill="0" autoPict="0">
                <anchor moveWithCells="1">
                  <from>
                    <xdr:col>13</xdr:col>
                    <xdr:colOff>133350</xdr:colOff>
                    <xdr:row>17</xdr:row>
                    <xdr:rowOff>28575</xdr:rowOff>
                  </from>
                  <to>
                    <xdr:col>13</xdr:col>
                    <xdr:colOff>628650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8" r:id="rId134" name="Group Box 142">
              <controlPr defaultSize="0" autoFill="0" autoPict="0">
                <anchor moveWithCells="1">
                  <from>
                    <xdr:col>13</xdr:col>
                    <xdr:colOff>142875</xdr:colOff>
                    <xdr:row>18</xdr:row>
                    <xdr:rowOff>19050</xdr:rowOff>
                  </from>
                  <to>
                    <xdr:col>13</xdr:col>
                    <xdr:colOff>638175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9" r:id="rId135" name="Group Box 143">
              <controlPr defaultSize="0" autoFill="0" autoPict="0">
                <anchor moveWithCells="1">
                  <from>
                    <xdr:col>13</xdr:col>
                    <xdr:colOff>142875</xdr:colOff>
                    <xdr:row>19</xdr:row>
                    <xdr:rowOff>28575</xdr:rowOff>
                  </from>
                  <to>
                    <xdr:col>13</xdr:col>
                    <xdr:colOff>638175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0" r:id="rId136" name="Group Box 144">
              <controlPr defaultSize="0" autoFill="0" autoPict="0">
                <anchor moveWithCells="1">
                  <from>
                    <xdr:col>13</xdr:col>
                    <xdr:colOff>142875</xdr:colOff>
                    <xdr:row>20</xdr:row>
                    <xdr:rowOff>28575</xdr:rowOff>
                  </from>
                  <to>
                    <xdr:col>13</xdr:col>
                    <xdr:colOff>638175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1" r:id="rId137" name="Group Box 145">
              <controlPr defaultSize="0" autoFill="0" autoPict="0">
                <anchor moveWithCells="1">
                  <from>
                    <xdr:col>13</xdr:col>
                    <xdr:colOff>142875</xdr:colOff>
                    <xdr:row>21</xdr:row>
                    <xdr:rowOff>38100</xdr:rowOff>
                  </from>
                  <to>
                    <xdr:col>13</xdr:col>
                    <xdr:colOff>638175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2" r:id="rId138" name="Group Box 146">
              <controlPr defaultSize="0" autoFill="0" autoPict="0">
                <anchor moveWithCells="1">
                  <from>
                    <xdr:col>13</xdr:col>
                    <xdr:colOff>142875</xdr:colOff>
                    <xdr:row>22</xdr:row>
                    <xdr:rowOff>19050</xdr:rowOff>
                  </from>
                  <to>
                    <xdr:col>13</xdr:col>
                    <xdr:colOff>638175</xdr:colOff>
                    <xdr:row>22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rgb="FFFFC000"/>
    <pageSetUpPr fitToPage="1"/>
  </sheetPr>
  <dimension ref="A1:X124"/>
  <sheetViews>
    <sheetView showGridLines="0" topLeftCell="B1" zoomScale="80" zoomScaleNormal="80" workbookViewId="0">
      <selection activeCell="G9" sqref="G9:L9"/>
    </sheetView>
  </sheetViews>
  <sheetFormatPr defaultColWidth="8.85546875" defaultRowHeight="15" x14ac:dyDescent="0.25"/>
  <cols>
    <col min="1" max="1" width="3.140625" style="13" customWidth="1"/>
    <col min="2" max="2" width="21.5703125" style="13" customWidth="1"/>
    <col min="3" max="3" width="3.5703125" style="13" customWidth="1"/>
    <col min="4" max="4" width="23.5703125" style="13" customWidth="1"/>
    <col min="5" max="5" width="3.140625" style="13" customWidth="1"/>
    <col min="6" max="6" width="4.85546875" style="13" customWidth="1"/>
    <col min="7" max="7" width="31.5703125" style="13" customWidth="1"/>
    <col min="8" max="8" width="3" style="13" customWidth="1"/>
    <col min="9" max="9" width="10.140625" style="13" customWidth="1"/>
    <col min="10" max="10" width="26.42578125" style="13" customWidth="1"/>
    <col min="11" max="11" width="11.7109375" style="13" customWidth="1"/>
    <col min="12" max="12" width="19.42578125" style="13" customWidth="1"/>
    <col min="13" max="13" width="4" style="13" customWidth="1"/>
    <col min="14" max="14" width="12.140625" style="13" customWidth="1"/>
    <col min="15" max="15" width="7.85546875" style="13" customWidth="1"/>
    <col min="16" max="16" width="13.7109375" style="13" customWidth="1"/>
    <col min="17" max="18" width="8.85546875" style="13" customWidth="1"/>
    <col min="19" max="19" width="5.5703125" style="13" customWidth="1"/>
    <col min="20" max="20" width="11.42578125" style="13" customWidth="1"/>
    <col min="21" max="21" width="4.7109375" style="13" customWidth="1"/>
    <col min="22" max="22" width="5.85546875" style="364" hidden="1" customWidth="1"/>
    <col min="23" max="23" width="6.5703125" style="364" hidden="1" customWidth="1"/>
    <col min="24" max="24" width="6.85546875" style="364" hidden="1" customWidth="1"/>
    <col min="25" max="25" width="6.28515625" style="13" customWidth="1"/>
    <col min="26" max="26" width="5.5703125" style="13" customWidth="1"/>
    <col min="27" max="16384" width="8.85546875" style="13"/>
  </cols>
  <sheetData>
    <row r="1" spans="1:20" ht="9" customHeight="1" thickBot="1" x14ac:dyDescent="0.3"/>
    <row r="2" spans="1:20" ht="29.45" customHeight="1" x14ac:dyDescent="0.5">
      <c r="B2" s="473"/>
      <c r="C2" s="474"/>
      <c r="D2" s="474"/>
      <c r="E2" s="474"/>
      <c r="F2" s="475"/>
      <c r="G2" s="476"/>
      <c r="H2" s="476"/>
      <c r="I2" s="476"/>
      <c r="J2" s="476"/>
      <c r="K2" s="476"/>
      <c r="L2" s="476"/>
      <c r="M2" s="474"/>
      <c r="N2" s="474"/>
      <c r="O2" s="477"/>
      <c r="P2" s="477"/>
      <c r="Q2" s="477"/>
      <c r="R2" s="477"/>
      <c r="S2" s="477"/>
      <c r="T2" s="478"/>
    </row>
    <row r="3" spans="1:20" ht="28.15" customHeight="1" x14ac:dyDescent="0.25">
      <c r="B3" s="479"/>
      <c r="C3" s="296"/>
      <c r="D3" s="296"/>
      <c r="E3" s="296"/>
      <c r="F3" s="297"/>
      <c r="G3" s="297"/>
      <c r="H3" s="297"/>
      <c r="I3" s="297"/>
      <c r="J3" s="297"/>
      <c r="K3" s="297"/>
      <c r="L3" s="296"/>
      <c r="M3" s="296"/>
      <c r="N3" s="296"/>
      <c r="O3" s="469"/>
      <c r="P3" s="469"/>
      <c r="Q3" s="469"/>
      <c r="R3" s="469"/>
      <c r="S3" s="469"/>
      <c r="T3" s="480"/>
    </row>
    <row r="4" spans="1:20" ht="31.9" customHeight="1" x14ac:dyDescent="0.25">
      <c r="B4" s="479"/>
      <c r="C4" s="296"/>
      <c r="D4" s="296"/>
      <c r="E4" s="296"/>
      <c r="F4" s="297"/>
      <c r="G4" s="297"/>
      <c r="H4" s="297"/>
      <c r="I4" s="297"/>
      <c r="J4" s="297"/>
      <c r="K4" s="297"/>
      <c r="L4" s="297"/>
      <c r="M4" s="296"/>
      <c r="N4" s="296"/>
      <c r="O4" s="469"/>
      <c r="P4" s="469"/>
      <c r="Q4" s="469"/>
      <c r="R4" s="469"/>
      <c r="S4" s="469"/>
      <c r="T4" s="480"/>
    </row>
    <row r="5" spans="1:20" ht="36" x14ac:dyDescent="0.55000000000000004">
      <c r="B5" s="416"/>
      <c r="C5" s="298"/>
      <c r="D5" s="298"/>
      <c r="E5" s="298"/>
      <c r="F5" s="679"/>
      <c r="G5" s="679"/>
      <c r="H5" s="679"/>
      <c r="I5" s="679"/>
      <c r="J5" s="679"/>
      <c r="K5" s="679"/>
      <c r="L5" s="679"/>
      <c r="M5" s="298"/>
      <c r="N5" s="298"/>
      <c r="O5" s="470"/>
      <c r="P5" s="470"/>
      <c r="Q5" s="470"/>
      <c r="R5" s="470"/>
      <c r="S5" s="470"/>
      <c r="T5" s="472"/>
    </row>
    <row r="6" spans="1:20" ht="13.15" customHeight="1" x14ac:dyDescent="0.25">
      <c r="B6" s="418"/>
      <c r="C6" s="419"/>
      <c r="D6" s="419"/>
      <c r="E6" s="419"/>
      <c r="F6" s="722"/>
      <c r="G6" s="722"/>
      <c r="H6" s="722"/>
      <c r="I6" s="722"/>
      <c r="J6" s="722"/>
      <c r="K6" s="722"/>
      <c r="L6" s="722"/>
      <c r="M6" s="722"/>
      <c r="N6" s="419"/>
      <c r="O6" s="419"/>
      <c r="P6" s="419"/>
      <c r="Q6" s="419"/>
      <c r="R6" s="419"/>
      <c r="S6" s="419"/>
      <c r="T6" s="420"/>
    </row>
    <row r="7" spans="1:20" ht="18" customHeight="1" x14ac:dyDescent="0.35">
      <c r="A7" s="175"/>
      <c r="B7" s="720" t="s">
        <v>212</v>
      </c>
      <c r="C7" s="721"/>
      <c r="D7" s="721"/>
      <c r="E7" s="721"/>
      <c r="F7" s="721"/>
      <c r="G7" s="721"/>
      <c r="H7" s="721"/>
      <c r="I7" s="721"/>
      <c r="J7" s="721"/>
      <c r="K7" s="721"/>
      <c r="L7" s="721"/>
      <c r="M7" s="421"/>
      <c r="N7" s="421"/>
      <c r="O7" s="421"/>
      <c r="P7" s="421"/>
      <c r="Q7" s="421"/>
      <c r="R7" s="421"/>
      <c r="S7" s="421"/>
      <c r="T7" s="422"/>
    </row>
    <row r="8" spans="1:20" ht="6" customHeight="1" thickBot="1" x14ac:dyDescent="0.3">
      <c r="B8" s="423"/>
      <c r="C8" s="155"/>
      <c r="D8" s="155"/>
      <c r="E8" s="155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155"/>
      <c r="Q8" s="155"/>
      <c r="R8" s="155"/>
      <c r="S8" s="155"/>
      <c r="T8" s="417"/>
    </row>
    <row r="9" spans="1:20" ht="21.75" thickBot="1" x14ac:dyDescent="0.3">
      <c r="B9" s="423"/>
      <c r="C9" s="425"/>
      <c r="D9" s="597" t="s">
        <v>45</v>
      </c>
      <c r="E9" s="597"/>
      <c r="F9" s="155"/>
      <c r="G9" s="702"/>
      <c r="H9" s="703"/>
      <c r="I9" s="704"/>
      <c r="J9" s="704"/>
      <c r="K9" s="704"/>
      <c r="L9" s="705"/>
      <c r="M9" s="424"/>
      <c r="N9" s="424"/>
      <c r="O9" s="424"/>
      <c r="P9" s="155"/>
      <c r="Q9" s="155"/>
      <c r="R9" s="155"/>
      <c r="S9" s="155"/>
      <c r="T9" s="417"/>
    </row>
    <row r="10" spans="1:20" ht="8.1" customHeight="1" thickBot="1" x14ac:dyDescent="0.3">
      <c r="B10" s="423"/>
      <c r="C10" s="425"/>
      <c r="D10" s="467"/>
      <c r="E10" s="155"/>
      <c r="F10" s="155"/>
      <c r="G10" s="426"/>
      <c r="H10" s="426"/>
      <c r="I10" s="426"/>
      <c r="J10" s="426"/>
      <c r="K10" s="426"/>
      <c r="L10" s="426"/>
      <c r="M10" s="424"/>
      <c r="N10" s="424"/>
      <c r="O10" s="424"/>
      <c r="P10" s="155"/>
      <c r="Q10" s="155"/>
      <c r="R10" s="155"/>
      <c r="S10" s="155"/>
      <c r="T10" s="417"/>
    </row>
    <row r="11" spans="1:20" ht="21.75" thickBot="1" x14ac:dyDescent="0.3">
      <c r="B11" s="423"/>
      <c r="C11" s="425"/>
      <c r="D11" s="597" t="s">
        <v>46</v>
      </c>
      <c r="E11" s="597"/>
      <c r="F11" s="155"/>
      <c r="G11" s="702"/>
      <c r="H11" s="703"/>
      <c r="I11" s="704"/>
      <c r="J11" s="704"/>
      <c r="K11" s="704"/>
      <c r="L11" s="705"/>
      <c r="M11" s="424"/>
      <c r="N11" s="424"/>
      <c r="O11" s="424"/>
      <c r="P11" s="155"/>
      <c r="Q11" s="155"/>
      <c r="R11" s="155"/>
      <c r="S11" s="155"/>
      <c r="T11" s="417"/>
    </row>
    <row r="12" spans="1:20" ht="8.1" customHeight="1" thickBot="1" x14ac:dyDescent="0.3">
      <c r="B12" s="423"/>
      <c r="C12" s="425"/>
      <c r="D12" s="467"/>
      <c r="E12" s="155"/>
      <c r="F12" s="155"/>
      <c r="G12" s="426"/>
      <c r="H12" s="426"/>
      <c r="I12" s="426"/>
      <c r="J12" s="426"/>
      <c r="K12" s="426"/>
      <c r="L12" s="426"/>
      <c r="M12" s="424"/>
      <c r="N12" s="424"/>
      <c r="O12" s="424"/>
      <c r="P12" s="155"/>
      <c r="Q12" s="155"/>
      <c r="R12" s="155"/>
      <c r="S12" s="155"/>
      <c r="T12" s="417"/>
    </row>
    <row r="13" spans="1:20" ht="21.75" thickBot="1" x14ac:dyDescent="0.3">
      <c r="B13" s="423"/>
      <c r="C13" s="425"/>
      <c r="D13" s="597" t="s">
        <v>47</v>
      </c>
      <c r="E13" s="597"/>
      <c r="F13" s="155"/>
      <c r="G13" s="351"/>
      <c r="H13" s="352"/>
      <c r="I13" s="353" t="s">
        <v>135</v>
      </c>
      <c r="J13" s="354"/>
      <c r="K13" s="355" t="s">
        <v>136</v>
      </c>
      <c r="L13" s="354"/>
      <c r="M13" s="424"/>
      <c r="N13" s="424"/>
      <c r="O13" s="424"/>
      <c r="P13" s="155"/>
      <c r="Q13" s="155"/>
      <c r="R13" s="155"/>
      <c r="S13" s="155"/>
      <c r="T13" s="417"/>
    </row>
    <row r="14" spans="1:20" ht="8.1" customHeight="1" thickBot="1" x14ac:dyDescent="0.3">
      <c r="B14" s="423"/>
      <c r="C14" s="425"/>
      <c r="D14" s="467"/>
      <c r="E14" s="155"/>
      <c r="F14" s="155"/>
      <c r="G14" s="426"/>
      <c r="H14" s="426"/>
      <c r="I14" s="426"/>
      <c r="J14" s="426"/>
      <c r="K14" s="427"/>
      <c r="L14" s="426"/>
      <c r="M14" s="424"/>
      <c r="N14" s="424"/>
      <c r="O14" s="424"/>
      <c r="P14" s="155"/>
      <c r="Q14" s="155"/>
      <c r="R14" s="155"/>
      <c r="S14" s="155"/>
      <c r="T14" s="417"/>
    </row>
    <row r="15" spans="1:20" ht="21.75" thickBot="1" x14ac:dyDescent="0.3">
      <c r="B15" s="423"/>
      <c r="C15" s="425"/>
      <c r="D15" s="597" t="s">
        <v>48</v>
      </c>
      <c r="E15" s="597"/>
      <c r="F15" s="155"/>
      <c r="G15" s="702"/>
      <c r="H15" s="703"/>
      <c r="I15" s="704"/>
      <c r="J15" s="704"/>
      <c r="K15" s="704"/>
      <c r="L15" s="705"/>
      <c r="M15" s="424"/>
      <c r="N15" s="424"/>
      <c r="O15" s="424"/>
      <c r="P15" s="155"/>
      <c r="Q15" s="155"/>
      <c r="R15" s="155"/>
      <c r="S15" s="155"/>
      <c r="T15" s="417"/>
    </row>
    <row r="16" spans="1:20" ht="8.1" customHeight="1" thickBot="1" x14ac:dyDescent="0.3">
      <c r="B16" s="423"/>
      <c r="C16" s="425"/>
      <c r="D16" s="467"/>
      <c r="E16" s="155"/>
      <c r="F16" s="155"/>
      <c r="G16" s="426"/>
      <c r="H16" s="426"/>
      <c r="I16" s="426"/>
      <c r="J16" s="426"/>
      <c r="K16" s="426"/>
      <c r="L16" s="426"/>
      <c r="M16" s="424"/>
      <c r="N16" s="424"/>
      <c r="O16" s="424"/>
      <c r="P16" s="155"/>
      <c r="Q16" s="155"/>
      <c r="R16" s="155"/>
      <c r="S16" s="155"/>
      <c r="T16" s="417"/>
    </row>
    <row r="17" spans="2:22" ht="24" customHeight="1" thickBot="1" x14ac:dyDescent="0.3">
      <c r="B17" s="423"/>
      <c r="C17" s="425"/>
      <c r="D17" s="597" t="s">
        <v>49</v>
      </c>
      <c r="E17" s="597"/>
      <c r="F17" s="155"/>
      <c r="G17" s="702"/>
      <c r="H17" s="703"/>
      <c r="I17" s="704"/>
      <c r="J17" s="704"/>
      <c r="K17" s="704"/>
      <c r="L17" s="705"/>
      <c r="M17" s="424"/>
      <c r="N17" s="424"/>
      <c r="O17" s="424"/>
      <c r="P17" s="155"/>
      <c r="Q17" s="155"/>
      <c r="R17" s="155"/>
      <c r="S17" s="155"/>
      <c r="T17" s="417"/>
    </row>
    <row r="18" spans="2:22" ht="8.1" customHeight="1" thickBot="1" x14ac:dyDescent="0.3">
      <c r="B18" s="423"/>
      <c r="C18" s="425"/>
      <c r="D18" s="428"/>
      <c r="E18" s="155"/>
      <c r="F18" s="155"/>
      <c r="G18" s="429"/>
      <c r="H18" s="429"/>
      <c r="I18" s="429"/>
      <c r="J18" s="429"/>
      <c r="K18" s="429"/>
      <c r="L18" s="429"/>
      <c r="M18" s="424"/>
      <c r="N18" s="424"/>
      <c r="O18" s="424"/>
      <c r="P18" s="155"/>
      <c r="Q18" s="155"/>
      <c r="R18" s="155"/>
      <c r="S18" s="155"/>
      <c r="T18" s="417"/>
    </row>
    <row r="19" spans="2:22" ht="23.25" customHeight="1" thickBot="1" x14ac:dyDescent="0.3">
      <c r="B19" s="423"/>
      <c r="C19" s="425"/>
      <c r="D19" s="597" t="s">
        <v>139</v>
      </c>
      <c r="E19" s="597"/>
      <c r="F19" s="155"/>
      <c r="G19" s="706"/>
      <c r="H19" s="707"/>
      <c r="I19" s="707"/>
      <c r="J19" s="708"/>
      <c r="K19" s="430" t="s">
        <v>158</v>
      </c>
      <c r="L19" s="354"/>
      <c r="M19" s="424"/>
      <c r="N19" s="424"/>
      <c r="O19" s="424"/>
      <c r="P19" s="155"/>
      <c r="Q19" s="155"/>
      <c r="R19" s="155"/>
      <c r="S19" s="155"/>
      <c r="T19" s="417"/>
    </row>
    <row r="20" spans="2:22" ht="10.5" customHeight="1" x14ac:dyDescent="0.25">
      <c r="B20" s="488"/>
      <c r="C20" s="155"/>
      <c r="D20" s="155"/>
      <c r="E20" s="155"/>
      <c r="F20" s="155"/>
      <c r="G20" s="424"/>
      <c r="H20" s="424"/>
      <c r="I20" s="424"/>
      <c r="J20" s="424"/>
      <c r="K20" s="424"/>
      <c r="L20" s="424"/>
      <c r="M20" s="424"/>
      <c r="N20" s="424"/>
      <c r="O20" s="424"/>
      <c r="P20" s="155"/>
      <c r="Q20" s="155"/>
      <c r="R20" s="155"/>
      <c r="S20" s="155"/>
      <c r="T20" s="417"/>
    </row>
    <row r="21" spans="2:22" ht="27.75" customHeight="1" x14ac:dyDescent="0.25">
      <c r="B21" s="709" t="s">
        <v>42</v>
      </c>
      <c r="C21" s="710"/>
      <c r="D21" s="711"/>
      <c r="E21" s="712"/>
      <c r="F21" s="713"/>
      <c r="G21" s="158"/>
      <c r="H21" s="158"/>
      <c r="I21" s="159"/>
      <c r="J21" s="159"/>
      <c r="K21" s="159"/>
      <c r="L21" s="159"/>
      <c r="M21" s="508"/>
      <c r="N21" s="486"/>
      <c r="O21" s="486"/>
      <c r="P21" s="486"/>
      <c r="Q21" s="486"/>
      <c r="R21" s="486"/>
      <c r="S21" s="486"/>
      <c r="T21" s="487"/>
    </row>
    <row r="22" spans="2:22" ht="5.25" customHeight="1" thickBot="1" x14ac:dyDescent="0.3">
      <c r="B22" s="491"/>
      <c r="C22" s="489"/>
      <c r="D22" s="489"/>
      <c r="E22" s="492"/>
      <c r="F22" s="492"/>
      <c r="G22" s="492"/>
      <c r="H22" s="492"/>
      <c r="I22" s="492"/>
      <c r="J22" s="492"/>
      <c r="K22" s="492"/>
      <c r="L22" s="492"/>
      <c r="M22" s="492"/>
      <c r="N22" s="492"/>
      <c r="O22" s="492"/>
      <c r="P22" s="492"/>
      <c r="Q22" s="492"/>
      <c r="R22" s="492"/>
      <c r="S22" s="492"/>
      <c r="T22" s="493"/>
    </row>
    <row r="23" spans="2:22" ht="27" customHeight="1" thickBot="1" x14ac:dyDescent="0.3">
      <c r="B23" s="494"/>
      <c r="C23" s="489"/>
      <c r="D23" s="495" t="s">
        <v>112</v>
      </c>
      <c r="E23" s="489"/>
      <c r="F23" s="489"/>
      <c r="G23" s="714" t="s">
        <v>78</v>
      </c>
      <c r="H23" s="715"/>
      <c r="I23" s="715"/>
      <c r="J23" s="716"/>
      <c r="K23" s="489"/>
      <c r="L23" s="496"/>
      <c r="M23" s="489"/>
      <c r="N23" s="489"/>
      <c r="O23" s="489"/>
      <c r="P23" s="489"/>
      <c r="Q23" s="489"/>
      <c r="R23" s="489"/>
      <c r="S23" s="489"/>
      <c r="T23" s="490"/>
    </row>
    <row r="24" spans="2:22" ht="24" customHeight="1" thickBot="1" x14ac:dyDescent="0.3">
      <c r="B24" s="494"/>
      <c r="C24" s="489"/>
      <c r="D24" s="495" t="s">
        <v>41</v>
      </c>
      <c r="E24" s="489"/>
      <c r="F24" s="489"/>
      <c r="G24" s="510"/>
      <c r="H24" s="497"/>
      <c r="I24" s="498"/>
      <c r="J24" s="498"/>
      <c r="K24" s="499"/>
      <c r="L24" s="489"/>
      <c r="M24" s="489"/>
      <c r="N24" s="489"/>
      <c r="O24" s="489"/>
      <c r="P24" s="489"/>
      <c r="Q24" s="489"/>
      <c r="R24" s="489"/>
      <c r="S24" s="489"/>
      <c r="T24" s="490"/>
    </row>
    <row r="25" spans="2:22" ht="24" hidden="1" customHeight="1" thickBot="1" x14ac:dyDescent="0.3">
      <c r="B25" s="494"/>
      <c r="C25" s="489"/>
      <c r="D25" s="489"/>
      <c r="E25" s="489"/>
      <c r="F25" s="489"/>
      <c r="G25" s="500"/>
      <c r="H25" s="497"/>
      <c r="I25" s="501"/>
      <c r="J25" s="498"/>
      <c r="K25" s="489"/>
      <c r="L25" s="502"/>
      <c r="M25" s="489"/>
      <c r="N25" s="489"/>
      <c r="O25" s="489"/>
      <c r="P25" s="489"/>
      <c r="Q25" s="489"/>
      <c r="R25" s="489"/>
      <c r="S25" s="489"/>
      <c r="T25" s="490"/>
    </row>
    <row r="26" spans="2:22" ht="24" hidden="1" customHeight="1" thickBot="1" x14ac:dyDescent="0.3">
      <c r="B26" s="494"/>
      <c r="C26" s="489"/>
      <c r="D26" s="489"/>
      <c r="E26" s="489"/>
      <c r="F26" s="489"/>
      <c r="G26" s="500"/>
      <c r="H26" s="497"/>
      <c r="I26" s="501"/>
      <c r="J26" s="498"/>
      <c r="K26" s="489"/>
      <c r="L26" s="502"/>
      <c r="M26" s="489"/>
      <c r="N26" s="489"/>
      <c r="O26" s="489"/>
      <c r="P26" s="489"/>
      <c r="Q26" s="489"/>
      <c r="R26" s="489"/>
      <c r="S26" s="489"/>
      <c r="T26" s="490"/>
    </row>
    <row r="27" spans="2:22" ht="24" hidden="1" customHeight="1" thickBot="1" x14ac:dyDescent="0.3">
      <c r="B27" s="494"/>
      <c r="C27" s="489"/>
      <c r="D27" s="489"/>
      <c r="E27" s="489"/>
      <c r="F27" s="489"/>
      <c r="G27" s="500"/>
      <c r="H27" s="497"/>
      <c r="I27" s="498"/>
      <c r="J27" s="498"/>
      <c r="K27" s="489"/>
      <c r="L27" s="502"/>
      <c r="M27" s="489"/>
      <c r="N27" s="489"/>
      <c r="O27" s="489"/>
      <c r="P27" s="489"/>
      <c r="Q27" s="489"/>
      <c r="R27" s="489"/>
      <c r="S27" s="489"/>
      <c r="T27" s="490"/>
    </row>
    <row r="28" spans="2:22" ht="24" customHeight="1" x14ac:dyDescent="0.25">
      <c r="B28" s="503" t="s">
        <v>278</v>
      </c>
      <c r="C28" s="489"/>
      <c r="D28" s="489"/>
      <c r="E28" s="504" t="str">
        <f>IF('Multifamily Calculations'!C4=1,"Y","N")</f>
        <v>N</v>
      </c>
      <c r="F28" s="489"/>
      <c r="G28" s="505" t="str">
        <f>IF('Multifamily Calculations'!$C$4=2,"Infiltration credit not allowed","Unit information must be entered on MF Infiltration Credit Wrks Tab")</f>
        <v>Infiltration credit not allowed</v>
      </c>
      <c r="H28" s="497"/>
      <c r="I28" s="501"/>
      <c r="J28" s="498"/>
      <c r="K28" s="489"/>
      <c r="L28" s="502"/>
      <c r="M28" s="489"/>
      <c r="N28" s="489"/>
      <c r="O28" s="489"/>
      <c r="P28" s="489"/>
      <c r="Q28" s="489"/>
      <c r="R28" s="489"/>
      <c r="S28" s="489"/>
      <c r="T28" s="490"/>
    </row>
    <row r="29" spans="2:22" ht="6" customHeight="1" x14ac:dyDescent="0.25">
      <c r="B29" s="494"/>
      <c r="C29" s="489"/>
      <c r="D29" s="489"/>
      <c r="E29" s="489"/>
      <c r="F29" s="489"/>
      <c r="G29" s="497"/>
      <c r="H29" s="497"/>
      <c r="I29" s="506"/>
      <c r="J29" s="506"/>
      <c r="K29" s="506"/>
      <c r="L29" s="489"/>
      <c r="M29" s="489"/>
      <c r="N29" s="489"/>
      <c r="O29" s="489"/>
      <c r="P29" s="489"/>
      <c r="Q29" s="489"/>
      <c r="R29" s="489"/>
      <c r="S29" s="489"/>
      <c r="T29" s="490"/>
    </row>
    <row r="30" spans="2:22" ht="9.75" customHeight="1" x14ac:dyDescent="0.25">
      <c r="B30" s="507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  <c r="T30" s="490"/>
      <c r="U30" s="160"/>
      <c r="V30" s="511"/>
    </row>
    <row r="31" spans="2:22" ht="3.75" customHeight="1" x14ac:dyDescent="0.25">
      <c r="B31" s="507"/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  <c r="T31" s="490"/>
      <c r="U31" s="155"/>
      <c r="V31" s="512"/>
    </row>
    <row r="32" spans="2:22" ht="23.25" customHeight="1" x14ac:dyDescent="0.25">
      <c r="B32" s="699" t="s">
        <v>164</v>
      </c>
      <c r="C32" s="700"/>
      <c r="D32" s="700"/>
      <c r="E32" s="701"/>
      <c r="F32" s="718" t="s">
        <v>208</v>
      </c>
      <c r="G32" s="719"/>
      <c r="H32" s="719"/>
      <c r="I32" s="719"/>
      <c r="J32" s="719"/>
      <c r="K32" s="719"/>
      <c r="L32" s="719"/>
      <c r="M32" s="719"/>
      <c r="N32" s="719"/>
      <c r="O32" s="361"/>
      <c r="P32" s="161"/>
      <c r="Q32" s="360"/>
      <c r="R32" s="161"/>
      <c r="S32" s="161"/>
      <c r="T32" s="431"/>
      <c r="U32" s="155"/>
      <c r="V32" s="512"/>
    </row>
    <row r="33" spans="2:24" ht="21.6" customHeight="1" thickBot="1" x14ac:dyDescent="0.3">
      <c r="B33" s="432"/>
      <c r="C33" s="154"/>
      <c r="D33" s="154"/>
      <c r="E33" s="154"/>
      <c r="F33" s="161"/>
      <c r="G33" s="161"/>
      <c r="H33" s="161"/>
      <c r="I33" s="161"/>
      <c r="J33" s="468"/>
      <c r="K33" s="717" t="s">
        <v>163</v>
      </c>
      <c r="L33" s="717"/>
      <c r="M33" s="162"/>
      <c r="N33" s="162"/>
      <c r="O33" s="171"/>
      <c r="P33" s="163">
        <v>0</v>
      </c>
      <c r="Q33" s="690" t="s">
        <v>126</v>
      </c>
      <c r="R33" s="690"/>
      <c r="S33" s="466"/>
      <c r="T33" s="431"/>
      <c r="U33" s="155"/>
      <c r="V33" s="512" t="s">
        <v>183</v>
      </c>
      <c r="W33" s="364" t="s">
        <v>184</v>
      </c>
    </row>
    <row r="34" spans="2:24" ht="21.6" customHeight="1" thickBot="1" x14ac:dyDescent="0.3">
      <c r="B34" s="433"/>
      <c r="C34" s="145"/>
      <c r="D34" s="156" t="s">
        <v>289</v>
      </c>
      <c r="E34" s="145"/>
      <c r="F34" s="150"/>
      <c r="G34" s="411"/>
      <c r="H34" s="276"/>
      <c r="I34" s="149" t="s">
        <v>170</v>
      </c>
      <c r="J34" s="153"/>
      <c r="K34" s="693"/>
      <c r="L34" s="694"/>
      <c r="M34" s="164"/>
      <c r="N34" s="148" t="s">
        <v>182</v>
      </c>
      <c r="O34" s="164"/>
      <c r="P34" s="264">
        <v>2</v>
      </c>
      <c r="Q34" s="686" t="str">
        <f>IF(G35&gt;0.9, IF(V34=1, IF(K34+ X34 -100&gt;0,0,K34+ X34 -100), X34-100), "")</f>
        <v/>
      </c>
      <c r="R34" s="686"/>
      <c r="S34" s="262"/>
      <c r="T34" s="434" t="str">
        <f>IF(P34=1,"20","0")</f>
        <v>0</v>
      </c>
      <c r="U34" s="155"/>
      <c r="V34" s="279">
        <v>2</v>
      </c>
      <c r="W34" s="280">
        <v>2</v>
      </c>
      <c r="X34" s="280" t="str">
        <f>IF(W34=1,"20","0")</f>
        <v>0</v>
      </c>
    </row>
    <row r="35" spans="2:24" ht="21.6" customHeight="1" thickBot="1" x14ac:dyDescent="0.3">
      <c r="B35" s="433"/>
      <c r="C35" s="145"/>
      <c r="D35" s="146" t="s">
        <v>165</v>
      </c>
      <c r="E35" s="145"/>
      <c r="F35" s="145"/>
      <c r="G35" s="166"/>
      <c r="H35" s="277"/>
      <c r="I35" s="148" t="s">
        <v>189</v>
      </c>
      <c r="J35" s="152"/>
      <c r="K35" s="693"/>
      <c r="L35" s="694"/>
      <c r="M35" s="164"/>
      <c r="N35" s="164" t="s">
        <v>182</v>
      </c>
      <c r="O35" s="164"/>
      <c r="P35" s="264">
        <v>2</v>
      </c>
      <c r="Q35" s="686" t="str">
        <f>IF(G35&gt;0.9, IF(V35=1, IF(K35+ X35 -50&gt;0,0,K35+ X35 -50), X35-50), "")</f>
        <v/>
      </c>
      <c r="R35" s="686"/>
      <c r="S35" s="262"/>
      <c r="T35" s="434" t="str">
        <f>IF(P35=1,"20","0")</f>
        <v>0</v>
      </c>
      <c r="U35" s="155"/>
      <c r="V35" s="279">
        <v>2</v>
      </c>
      <c r="W35" s="280">
        <v>2</v>
      </c>
      <c r="X35" s="280" t="str">
        <f>IF(W35=1,"20","0")</f>
        <v>0</v>
      </c>
    </row>
    <row r="36" spans="2:24" ht="21.6" customHeight="1" thickBot="1" x14ac:dyDescent="0.3">
      <c r="B36" s="433"/>
      <c r="C36" s="145"/>
      <c r="D36" s="146" t="s">
        <v>162</v>
      </c>
      <c r="E36" s="145"/>
      <c r="F36" s="145"/>
      <c r="G36" s="356"/>
      <c r="H36" s="278"/>
      <c r="I36" s="148" t="s">
        <v>210</v>
      </c>
      <c r="J36" s="152"/>
      <c r="K36" s="684"/>
      <c r="L36" s="685"/>
      <c r="M36" s="164"/>
      <c r="N36" s="164" t="s">
        <v>182</v>
      </c>
      <c r="O36" s="164"/>
      <c r="P36" s="264">
        <v>2</v>
      </c>
      <c r="Q36" s="686" t="str">
        <f>IF(G35&gt;0.9, IF(V36=1, IF(K36+ X36 -50&gt;0,0,K36+ X36 -50), ""), "")</f>
        <v/>
      </c>
      <c r="R36" s="686"/>
      <c r="S36" s="262"/>
      <c r="T36" s="434" t="str">
        <f>IF(P36=1,"20","0")</f>
        <v>0</v>
      </c>
      <c r="U36" s="155"/>
      <c r="V36" s="279">
        <v>2</v>
      </c>
      <c r="W36" s="280">
        <v>2</v>
      </c>
      <c r="X36" s="280" t="str">
        <f>IF(W36=1,"20","0")</f>
        <v>0</v>
      </c>
    </row>
    <row r="37" spans="2:24" ht="21.6" customHeight="1" thickBot="1" x14ac:dyDescent="0.3">
      <c r="B37" s="433"/>
      <c r="C37" s="145" t="s">
        <v>92</v>
      </c>
      <c r="D37" s="146" t="s">
        <v>265</v>
      </c>
      <c r="E37" s="145"/>
      <c r="F37" s="145"/>
      <c r="G37" s="357"/>
      <c r="H37" s="144"/>
      <c r="I37" s="695" t="str">
        <f>IF($E$28="N","","If dwelling units are side-by-side only, enter Blower Door # for dwelling")</f>
        <v/>
      </c>
      <c r="J37" s="695"/>
      <c r="K37" s="695"/>
      <c r="L37" s="695"/>
      <c r="M37" s="695"/>
      <c r="N37" s="695"/>
      <c r="O37" s="695"/>
      <c r="P37" s="290"/>
      <c r="Q37" s="465"/>
      <c r="R37" s="465"/>
      <c r="S37" s="165"/>
      <c r="T37" s="434"/>
      <c r="U37" s="155"/>
      <c r="V37" s="512"/>
    </row>
    <row r="38" spans="2:24" ht="21.6" customHeight="1" thickBot="1" x14ac:dyDescent="0.35">
      <c r="B38" s="433"/>
      <c r="C38" s="145"/>
      <c r="D38" s="146" t="s">
        <v>266</v>
      </c>
      <c r="E38" s="145"/>
      <c r="F38" s="145"/>
      <c r="G38" s="356"/>
      <c r="H38" s="147"/>
      <c r="I38" s="359"/>
      <c r="J38" s="314" t="str">
        <f>IF($E$28="N","","CFM@50")</f>
        <v/>
      </c>
      <c r="K38" s="147"/>
      <c r="L38" s="304"/>
      <c r="M38" s="148"/>
      <c r="N38" s="347"/>
      <c r="O38" s="168"/>
      <c r="P38" s="145"/>
      <c r="Q38" s="148" t="s">
        <v>125</v>
      </c>
      <c r="R38" s="169"/>
      <c r="S38" s="170"/>
      <c r="T38" s="435"/>
      <c r="U38" s="155"/>
      <c r="V38" s="512"/>
    </row>
    <row r="39" spans="2:24" ht="21.6" customHeight="1" thickBot="1" x14ac:dyDescent="0.3">
      <c r="B39" s="433"/>
      <c r="C39" s="145"/>
      <c r="D39" s="146" t="s">
        <v>220</v>
      </c>
      <c r="E39" s="145"/>
      <c r="F39" s="145"/>
      <c r="G39" s="463" t="str">
        <f>IF(G35&gt;1,(Q39/4),"")</f>
        <v/>
      </c>
      <c r="H39" s="147"/>
      <c r="I39" s="306"/>
      <c r="J39" s="303"/>
      <c r="K39" s="147"/>
      <c r="L39" s="303"/>
      <c r="M39" s="148"/>
      <c r="N39" s="169"/>
      <c r="O39" s="164"/>
      <c r="P39" s="170"/>
      <c r="Q39" s="687">
        <f>SUM(Q34:R36)</f>
        <v>0</v>
      </c>
      <c r="R39" s="688"/>
      <c r="S39" s="145"/>
      <c r="T39" s="435"/>
      <c r="U39" s="155"/>
      <c r="V39" s="512"/>
    </row>
    <row r="40" spans="2:24" ht="21.6" customHeight="1" thickBot="1" x14ac:dyDescent="0.3">
      <c r="B40" s="433"/>
      <c r="C40" s="145"/>
      <c r="D40" s="146" t="s">
        <v>222</v>
      </c>
      <c r="E40" s="145"/>
      <c r="F40" s="145"/>
      <c r="G40" s="462" t="str">
        <f>IF(G35&gt;1,(('Multifamily Calculations'!G23)-G39),"")</f>
        <v/>
      </c>
      <c r="H40" s="171"/>
      <c r="I40" s="696"/>
      <c r="J40" s="697"/>
      <c r="K40" s="697"/>
      <c r="L40" s="698"/>
      <c r="M40" s="145"/>
      <c r="N40" s="145"/>
      <c r="O40" s="145"/>
      <c r="P40" s="145"/>
      <c r="Q40" s="145"/>
      <c r="R40" s="145"/>
      <c r="S40" s="144"/>
      <c r="T40" s="435"/>
      <c r="U40" s="155"/>
      <c r="V40" s="512"/>
    </row>
    <row r="41" spans="2:24" ht="21.6" customHeight="1" thickBot="1" x14ac:dyDescent="0.3">
      <c r="B41" s="436"/>
      <c r="C41" s="146"/>
      <c r="D41" s="146" t="s">
        <v>283</v>
      </c>
      <c r="E41" s="145"/>
      <c r="F41" s="172"/>
      <c r="G41" s="358" t="str">
        <f>'Multifamily Calculations'!G29</f>
        <v/>
      </c>
      <c r="H41" s="171"/>
      <c r="I41" s="696" t="str">
        <f>IF($E$28="N","","Requires completing unit info on MF Infiltration Credit Wrks Tab to get allowable infiltration credit")</f>
        <v/>
      </c>
      <c r="J41" s="697"/>
      <c r="K41" s="697"/>
      <c r="L41" s="697"/>
      <c r="M41" s="697"/>
      <c r="N41" s="697"/>
      <c r="O41" s="697"/>
      <c r="P41" s="697"/>
      <c r="Q41" s="697"/>
      <c r="R41" s="697"/>
      <c r="S41" s="145"/>
      <c r="T41" s="435"/>
      <c r="U41" s="155"/>
      <c r="V41" s="512"/>
    </row>
    <row r="42" spans="2:24" ht="9.75" customHeight="1" x14ac:dyDescent="0.25">
      <c r="B42" s="437"/>
      <c r="C42" s="316"/>
      <c r="D42" s="316"/>
      <c r="E42" s="174"/>
      <c r="F42" s="174"/>
      <c r="G42" s="263"/>
      <c r="H42" s="317"/>
      <c r="I42" s="318"/>
      <c r="J42" s="319"/>
      <c r="K42" s="319"/>
      <c r="L42" s="174"/>
      <c r="M42" s="320"/>
      <c r="N42" s="320"/>
      <c r="O42" s="174"/>
      <c r="P42" s="174"/>
      <c r="Q42" s="174"/>
      <c r="R42" s="174"/>
      <c r="S42" s="174"/>
      <c r="T42" s="438"/>
      <c r="U42" s="155"/>
      <c r="V42" s="512"/>
    </row>
    <row r="43" spans="2:24" ht="21.6" customHeight="1" thickBot="1" x14ac:dyDescent="0.3">
      <c r="B43" s="439"/>
      <c r="C43" s="321"/>
      <c r="D43" s="321"/>
      <c r="E43" s="161"/>
      <c r="F43" s="161"/>
      <c r="G43" s="322" t="str">
        <f>IF(G36&gt;1,((0.03*G36+7.5*(G37+1))),"")</f>
        <v/>
      </c>
      <c r="H43" s="323"/>
      <c r="I43" s="161"/>
      <c r="J43" s="324"/>
      <c r="K43" s="689" t="s">
        <v>163</v>
      </c>
      <c r="L43" s="689"/>
      <c r="M43" s="325"/>
      <c r="N43" s="325"/>
      <c r="O43" s="325"/>
      <c r="P43" s="326">
        <v>0</v>
      </c>
      <c r="Q43" s="690" t="s">
        <v>126</v>
      </c>
      <c r="R43" s="690"/>
      <c r="S43" s="466"/>
      <c r="T43" s="431"/>
      <c r="U43" s="155"/>
      <c r="V43" s="512" t="s">
        <v>183</v>
      </c>
      <c r="W43" s="364" t="s">
        <v>184</v>
      </c>
    </row>
    <row r="44" spans="2:24" ht="21.6" customHeight="1" thickBot="1" x14ac:dyDescent="0.3">
      <c r="B44" s="433"/>
      <c r="C44" s="145"/>
      <c r="D44" s="156" t="s">
        <v>289</v>
      </c>
      <c r="E44" s="145"/>
      <c r="F44" s="150"/>
      <c r="G44" s="411"/>
      <c r="H44" s="145"/>
      <c r="I44" s="149" t="s">
        <v>170</v>
      </c>
      <c r="J44" s="173"/>
      <c r="K44" s="693"/>
      <c r="L44" s="694"/>
      <c r="M44" s="464"/>
      <c r="N44" s="164" t="s">
        <v>182</v>
      </c>
      <c r="O44" s="464"/>
      <c r="P44" s="264">
        <v>2</v>
      </c>
      <c r="Q44" s="686" t="str">
        <f>IF(G45&gt;0.9, IF(V44=1, IF(K44+ X44 -100&gt;0,0,K44+ X44 -100), X44-100), "")</f>
        <v/>
      </c>
      <c r="R44" s="686"/>
      <c r="S44" s="262"/>
      <c r="T44" s="434" t="str">
        <f>IF(P44=1,"20","0")</f>
        <v>0</v>
      </c>
      <c r="U44" s="155"/>
      <c r="V44" s="279">
        <v>2</v>
      </c>
      <c r="W44" s="280">
        <v>2</v>
      </c>
      <c r="X44" s="280" t="str">
        <f>IF(W44=1,"20","0")</f>
        <v>0</v>
      </c>
    </row>
    <row r="45" spans="2:24" ht="21.6" customHeight="1" thickBot="1" x14ac:dyDescent="0.3">
      <c r="B45" s="433"/>
      <c r="C45" s="145"/>
      <c r="D45" s="146" t="s">
        <v>165</v>
      </c>
      <c r="E45" s="145"/>
      <c r="F45" s="145"/>
      <c r="G45" s="166"/>
      <c r="H45" s="145"/>
      <c r="I45" s="148" t="s">
        <v>189</v>
      </c>
      <c r="J45" s="173"/>
      <c r="K45" s="684"/>
      <c r="L45" s="685"/>
      <c r="M45" s="464"/>
      <c r="N45" s="164" t="s">
        <v>182</v>
      </c>
      <c r="O45" s="464"/>
      <c r="P45" s="264">
        <v>2</v>
      </c>
      <c r="Q45" s="686" t="str">
        <f>IF(G45&gt;0.9, IF(V45=1, IF(K45+ X45 -50&gt;0,0,K45+ X45 -50), X45-50), "")</f>
        <v/>
      </c>
      <c r="R45" s="686"/>
      <c r="S45" s="262"/>
      <c r="T45" s="434" t="str">
        <f>IF(P45=1,"20","0")</f>
        <v>0</v>
      </c>
      <c r="U45" s="155"/>
      <c r="V45" s="279">
        <v>2</v>
      </c>
      <c r="W45" s="280">
        <v>2</v>
      </c>
      <c r="X45" s="280" t="str">
        <f>IF(W45=1,"20","0")</f>
        <v>0</v>
      </c>
    </row>
    <row r="46" spans="2:24" ht="21.6" customHeight="1" thickBot="1" x14ac:dyDescent="0.3">
      <c r="B46" s="433"/>
      <c r="C46" s="145"/>
      <c r="D46" s="146" t="s">
        <v>162</v>
      </c>
      <c r="E46" s="145"/>
      <c r="F46" s="145"/>
      <c r="G46" s="356"/>
      <c r="H46" s="145"/>
      <c r="I46" s="148" t="s">
        <v>210</v>
      </c>
      <c r="J46" s="173"/>
      <c r="K46" s="684"/>
      <c r="L46" s="685"/>
      <c r="M46" s="464"/>
      <c r="N46" s="164" t="s">
        <v>182</v>
      </c>
      <c r="O46" s="464"/>
      <c r="P46" s="264">
        <v>3</v>
      </c>
      <c r="Q46" s="686" t="str">
        <f>IF(G45&gt;0.9, IF(V46=1, IF(K46+ X46 -50&gt;0,0,K46+ X46 -50), ""), "")</f>
        <v/>
      </c>
      <c r="R46" s="686"/>
      <c r="S46" s="262"/>
      <c r="T46" s="434" t="str">
        <f>IF(P46=1,"20","0")</f>
        <v>0</v>
      </c>
      <c r="U46" s="155"/>
      <c r="V46" s="279">
        <v>2</v>
      </c>
      <c r="W46" s="280">
        <v>2</v>
      </c>
      <c r="X46" s="280" t="str">
        <f>IF(W46=1,"20","0")</f>
        <v>0</v>
      </c>
    </row>
    <row r="47" spans="2:24" ht="21.6" customHeight="1" thickBot="1" x14ac:dyDescent="0.3">
      <c r="B47" s="433"/>
      <c r="C47" s="145"/>
      <c r="D47" s="146" t="s">
        <v>265</v>
      </c>
      <c r="E47" s="145"/>
      <c r="F47" s="145"/>
      <c r="G47" s="356"/>
      <c r="H47" s="145"/>
      <c r="I47" s="695" t="str">
        <f>IF($E$28="N","","If dwelling units are side-by-side only, enter Blower Door # for dwelling")</f>
        <v/>
      </c>
      <c r="J47" s="695"/>
      <c r="K47" s="695"/>
      <c r="L47" s="695"/>
      <c r="M47" s="695"/>
      <c r="N47" s="695"/>
      <c r="O47" s="695"/>
      <c r="P47" s="167"/>
      <c r="Q47" s="465"/>
      <c r="R47" s="465"/>
      <c r="S47" s="165"/>
      <c r="T47" s="434"/>
      <c r="U47" s="155"/>
      <c r="V47" s="279"/>
      <c r="W47" s="280"/>
      <c r="X47" s="280"/>
    </row>
    <row r="48" spans="2:24" ht="21.6" customHeight="1" thickBot="1" x14ac:dyDescent="0.35">
      <c r="B48" s="433"/>
      <c r="C48" s="145"/>
      <c r="D48" s="146" t="s">
        <v>266</v>
      </c>
      <c r="E48" s="145"/>
      <c r="F48" s="145"/>
      <c r="G48" s="356"/>
      <c r="H48" s="145"/>
      <c r="I48" s="359"/>
      <c r="J48" s="314" t="str">
        <f>IF($E$28="N","","CFM@50")</f>
        <v/>
      </c>
      <c r="K48" s="147"/>
      <c r="L48" s="304"/>
      <c r="M48" s="464"/>
      <c r="N48" s="347"/>
      <c r="O48" s="464"/>
      <c r="P48" s="145"/>
      <c r="Q48" s="148" t="s">
        <v>125</v>
      </c>
      <c r="R48" s="169"/>
      <c r="S48" s="170"/>
      <c r="T48" s="435"/>
      <c r="U48" s="155"/>
      <c r="V48" s="279"/>
      <c r="W48" s="280"/>
      <c r="X48" s="280"/>
    </row>
    <row r="49" spans="2:24" ht="21.6" customHeight="1" thickBot="1" x14ac:dyDescent="0.3">
      <c r="B49" s="433"/>
      <c r="C49" s="145"/>
      <c r="D49" s="146" t="s">
        <v>220</v>
      </c>
      <c r="E49" s="145"/>
      <c r="F49" s="145"/>
      <c r="G49" s="462" t="str">
        <f>IF(G45&gt;1,(Q49/4),"")</f>
        <v/>
      </c>
      <c r="H49" s="145"/>
      <c r="I49" s="145"/>
      <c r="J49" s="173"/>
      <c r="K49" s="147"/>
      <c r="L49" s="303"/>
      <c r="M49" s="148"/>
      <c r="N49" s="169"/>
      <c r="O49" s="170"/>
      <c r="P49" s="170"/>
      <c r="Q49" s="687">
        <f>SUM(Q44:R46)</f>
        <v>0</v>
      </c>
      <c r="R49" s="688"/>
      <c r="S49" s="145"/>
      <c r="T49" s="435"/>
      <c r="U49" s="155"/>
      <c r="V49" s="279"/>
      <c r="W49" s="280"/>
      <c r="X49" s="280"/>
    </row>
    <row r="50" spans="2:24" ht="21.6" customHeight="1" thickBot="1" x14ac:dyDescent="0.3">
      <c r="B50" s="433"/>
      <c r="C50" s="145"/>
      <c r="D50" s="146" t="s">
        <v>222</v>
      </c>
      <c r="E50" s="145"/>
      <c r="F50" s="145"/>
      <c r="G50" s="462" t="str">
        <f>IF(G45&gt;1,(('Multifamily Calculations'!J23)-G49),"")</f>
        <v/>
      </c>
      <c r="H50" s="145"/>
      <c r="I50" s="461"/>
      <c r="J50" s="173"/>
      <c r="K50" s="173"/>
      <c r="L50" s="315"/>
      <c r="M50" s="145"/>
      <c r="N50" s="145"/>
      <c r="O50" s="145"/>
      <c r="P50" s="145"/>
      <c r="Q50" s="145"/>
      <c r="R50" s="145"/>
      <c r="S50" s="144"/>
      <c r="T50" s="435"/>
      <c r="U50" s="155"/>
      <c r="V50" s="279"/>
      <c r="W50" s="280"/>
      <c r="X50" s="280"/>
    </row>
    <row r="51" spans="2:24" ht="21.6" customHeight="1" thickBot="1" x14ac:dyDescent="0.3">
      <c r="B51" s="433"/>
      <c r="C51" s="145"/>
      <c r="D51" s="146" t="s">
        <v>283</v>
      </c>
      <c r="E51" s="145"/>
      <c r="F51" s="145"/>
      <c r="G51" s="358" t="str">
        <f>'Multifamily Calculations'!J29</f>
        <v/>
      </c>
      <c r="H51" s="145"/>
      <c r="I51" s="696" t="str">
        <f>IF($E$28="N","","Requires completing unit info on MF Infiltration Credit Wrks Tab to get allowable infiltration credit")</f>
        <v/>
      </c>
      <c r="J51" s="697"/>
      <c r="K51" s="697"/>
      <c r="L51" s="697"/>
      <c r="M51" s="697"/>
      <c r="N51" s="697"/>
      <c r="O51" s="697"/>
      <c r="P51" s="697"/>
      <c r="Q51" s="697"/>
      <c r="R51" s="697"/>
      <c r="S51" s="145"/>
      <c r="T51" s="435"/>
      <c r="U51" s="155"/>
      <c r="V51" s="279"/>
      <c r="W51" s="280"/>
      <c r="X51" s="280"/>
    </row>
    <row r="52" spans="2:24" ht="15" customHeight="1" x14ac:dyDescent="0.25">
      <c r="B52" s="440"/>
      <c r="C52" s="174"/>
      <c r="D52" s="316"/>
      <c r="E52" s="174"/>
      <c r="F52" s="174"/>
      <c r="G52" s="263"/>
      <c r="H52" s="174"/>
      <c r="I52" s="174"/>
      <c r="J52" s="327"/>
      <c r="K52" s="327"/>
      <c r="L52" s="174"/>
      <c r="M52" s="328"/>
      <c r="N52" s="328"/>
      <c r="O52" s="328"/>
      <c r="P52" s="174"/>
      <c r="Q52" s="174"/>
      <c r="R52" s="174"/>
      <c r="S52" s="174"/>
      <c r="T52" s="438"/>
      <c r="U52" s="155"/>
      <c r="V52" s="279"/>
      <c r="W52" s="280"/>
      <c r="X52" s="280"/>
    </row>
    <row r="53" spans="2:24" ht="21.6" customHeight="1" thickBot="1" x14ac:dyDescent="0.3">
      <c r="B53" s="441"/>
      <c r="C53" s="161"/>
      <c r="D53" s="321"/>
      <c r="E53" s="161"/>
      <c r="F53" s="161"/>
      <c r="G53" s="324"/>
      <c r="H53" s="161"/>
      <c r="I53" s="161"/>
      <c r="J53" s="324"/>
      <c r="K53" s="689" t="s">
        <v>163</v>
      </c>
      <c r="L53" s="689"/>
      <c r="M53" s="325"/>
      <c r="N53" s="325"/>
      <c r="O53" s="325"/>
      <c r="P53" s="326">
        <v>0</v>
      </c>
      <c r="Q53" s="690" t="s">
        <v>126</v>
      </c>
      <c r="R53" s="690"/>
      <c r="S53" s="466"/>
      <c r="T53" s="431"/>
      <c r="U53" s="155"/>
      <c r="V53" s="512" t="s">
        <v>183</v>
      </c>
      <c r="W53" s="364" t="s">
        <v>184</v>
      </c>
    </row>
    <row r="54" spans="2:24" ht="21.6" customHeight="1" thickBot="1" x14ac:dyDescent="0.3">
      <c r="B54" s="433"/>
      <c r="C54" s="145"/>
      <c r="D54" s="156" t="s">
        <v>289</v>
      </c>
      <c r="E54" s="145"/>
      <c r="F54" s="150"/>
      <c r="G54" s="411"/>
      <c r="H54" s="145"/>
      <c r="I54" s="149" t="s">
        <v>170</v>
      </c>
      <c r="J54" s="173"/>
      <c r="K54" s="693"/>
      <c r="L54" s="694"/>
      <c r="M54" s="464"/>
      <c r="N54" s="164" t="s">
        <v>182</v>
      </c>
      <c r="O54" s="464"/>
      <c r="P54" s="264">
        <v>15</v>
      </c>
      <c r="Q54" s="686" t="str">
        <f>IF(G55&gt;0.9, IF(V54=1, IF(K54+ X54 -100&gt;0,0,K54+ X54 -100), X54-100), "")</f>
        <v/>
      </c>
      <c r="R54" s="686"/>
      <c r="S54" s="262" t="str">
        <f>IF(Q54&lt;0,"","")</f>
        <v/>
      </c>
      <c r="T54" s="434" t="str">
        <f>IF(P54=1,"20","0")</f>
        <v>0</v>
      </c>
      <c r="U54" s="155"/>
      <c r="V54" s="279">
        <v>2</v>
      </c>
      <c r="W54" s="280">
        <v>2</v>
      </c>
      <c r="X54" s="280" t="str">
        <f>IF(W54=1,"20","0")</f>
        <v>0</v>
      </c>
    </row>
    <row r="55" spans="2:24" ht="21.6" customHeight="1" thickBot="1" x14ac:dyDescent="0.3">
      <c r="B55" s="433"/>
      <c r="C55" s="145"/>
      <c r="D55" s="146" t="s">
        <v>165</v>
      </c>
      <c r="E55" s="145"/>
      <c r="F55" s="145"/>
      <c r="G55" s="166"/>
      <c r="H55" s="145"/>
      <c r="I55" s="148" t="s">
        <v>189</v>
      </c>
      <c r="J55" s="173"/>
      <c r="K55" s="693"/>
      <c r="L55" s="694"/>
      <c r="M55" s="464"/>
      <c r="N55" s="164" t="s">
        <v>182</v>
      </c>
      <c r="O55" s="464"/>
      <c r="P55" s="264">
        <v>2</v>
      </c>
      <c r="Q55" s="686" t="str">
        <f>IF(G55&gt;0.9, IF(V55=1, IF(K55+ X55 -50&gt;0,0,K55+ X55 -50), X55-50), "")</f>
        <v/>
      </c>
      <c r="R55" s="686"/>
      <c r="S55" s="262" t="str">
        <f>IF(Q55&lt;0,"","")</f>
        <v/>
      </c>
      <c r="T55" s="434" t="str">
        <f>IF(P55=1,"20","0")</f>
        <v>0</v>
      </c>
      <c r="U55" s="155"/>
      <c r="V55" s="279">
        <v>2</v>
      </c>
      <c r="W55" s="280">
        <v>2</v>
      </c>
      <c r="X55" s="280" t="str">
        <f>IF(W55=1,"20","0")</f>
        <v>0</v>
      </c>
    </row>
    <row r="56" spans="2:24" ht="21.6" customHeight="1" thickBot="1" x14ac:dyDescent="0.3">
      <c r="B56" s="433"/>
      <c r="C56" s="145"/>
      <c r="D56" s="146" t="s">
        <v>162</v>
      </c>
      <c r="E56" s="145"/>
      <c r="F56" s="145"/>
      <c r="G56" s="356"/>
      <c r="H56" s="145"/>
      <c r="I56" s="148" t="s">
        <v>210</v>
      </c>
      <c r="J56" s="173"/>
      <c r="K56" s="684"/>
      <c r="L56" s="685"/>
      <c r="M56" s="464"/>
      <c r="N56" s="164" t="s">
        <v>182</v>
      </c>
      <c r="O56" s="464"/>
      <c r="P56" s="264">
        <v>3</v>
      </c>
      <c r="Q56" s="686" t="str">
        <f>IF(G55&gt;0.9, IF(V56=1, IF(K56+ X56 -50&gt;0,0,K56+ X56 -50), ""), "")</f>
        <v/>
      </c>
      <c r="R56" s="686"/>
      <c r="S56" s="262" t="str">
        <f>IF(Q56&lt;0,"","")</f>
        <v/>
      </c>
      <c r="T56" s="434" t="str">
        <f>IF(P56=1,"20","0")</f>
        <v>0</v>
      </c>
      <c r="U56" s="155"/>
      <c r="V56" s="279">
        <v>2</v>
      </c>
      <c r="W56" s="280">
        <v>2</v>
      </c>
      <c r="X56" s="280" t="str">
        <f>IF(W56=1,"20","0")</f>
        <v>0</v>
      </c>
    </row>
    <row r="57" spans="2:24" ht="21.6" customHeight="1" thickBot="1" x14ac:dyDescent="0.3">
      <c r="B57" s="433"/>
      <c r="C57" s="145"/>
      <c r="D57" s="146" t="s">
        <v>265</v>
      </c>
      <c r="E57" s="145"/>
      <c r="F57" s="145"/>
      <c r="G57" s="356"/>
      <c r="H57" s="145"/>
      <c r="I57" s="695" t="str">
        <f>IF($E$28="N","","If dwelling units are side-by-side only, enter Blower Door # for dwelling")</f>
        <v/>
      </c>
      <c r="J57" s="695"/>
      <c r="K57" s="695"/>
      <c r="L57" s="695"/>
      <c r="M57" s="695"/>
      <c r="N57" s="695"/>
      <c r="O57" s="695"/>
      <c r="P57" s="167"/>
      <c r="Q57" s="465"/>
      <c r="R57" s="465"/>
      <c r="S57" s="165"/>
      <c r="T57" s="434"/>
      <c r="U57" s="155"/>
      <c r="V57" s="279"/>
      <c r="W57" s="280"/>
      <c r="X57" s="280"/>
    </row>
    <row r="58" spans="2:24" ht="21.6" customHeight="1" thickBot="1" x14ac:dyDescent="0.35">
      <c r="B58" s="433"/>
      <c r="C58" s="145"/>
      <c r="D58" s="146" t="s">
        <v>266</v>
      </c>
      <c r="E58" s="145"/>
      <c r="F58" s="145"/>
      <c r="G58" s="356"/>
      <c r="H58" s="145"/>
      <c r="I58" s="359"/>
      <c r="J58" s="314" t="str">
        <f>IF($E$28="N","","CFM@50")</f>
        <v/>
      </c>
      <c r="K58" s="147"/>
      <c r="L58" s="304"/>
      <c r="M58" s="464"/>
      <c r="N58" s="347"/>
      <c r="O58" s="464"/>
      <c r="P58" s="145"/>
      <c r="Q58" s="148" t="s">
        <v>125</v>
      </c>
      <c r="R58" s="169"/>
      <c r="S58" s="170"/>
      <c r="T58" s="435"/>
      <c r="U58" s="155"/>
      <c r="V58" s="279"/>
      <c r="W58" s="280"/>
      <c r="X58" s="280"/>
    </row>
    <row r="59" spans="2:24" ht="21.6" customHeight="1" thickBot="1" x14ac:dyDescent="0.3">
      <c r="B59" s="433"/>
      <c r="C59" s="145"/>
      <c r="D59" s="146" t="s">
        <v>220</v>
      </c>
      <c r="E59" s="145"/>
      <c r="F59" s="145"/>
      <c r="G59" s="462" t="str">
        <f>IF(G55&gt;1,(Q59/4),"")</f>
        <v/>
      </c>
      <c r="H59" s="145"/>
      <c r="I59" s="145"/>
      <c r="J59" s="173"/>
      <c r="K59" s="147"/>
      <c r="L59" s="303"/>
      <c r="M59" s="148"/>
      <c r="N59" s="169"/>
      <c r="O59" s="170"/>
      <c r="P59" s="170"/>
      <c r="Q59" s="687">
        <f>SUM(Q54:R56)</f>
        <v>0</v>
      </c>
      <c r="R59" s="688"/>
      <c r="S59" s="145"/>
      <c r="T59" s="435"/>
      <c r="U59" s="155"/>
      <c r="V59" s="279"/>
      <c r="W59" s="280"/>
      <c r="X59" s="280"/>
    </row>
    <row r="60" spans="2:24" ht="21.6" customHeight="1" thickBot="1" x14ac:dyDescent="0.3">
      <c r="B60" s="433"/>
      <c r="C60" s="145"/>
      <c r="D60" s="146" t="s">
        <v>222</v>
      </c>
      <c r="E60" s="145"/>
      <c r="F60" s="145"/>
      <c r="G60" s="462" t="str">
        <f>IF(G55&gt;1,(('Multifamily Calculations'!M23)-G59),"")</f>
        <v/>
      </c>
      <c r="H60" s="145"/>
      <c r="I60" s="461"/>
      <c r="J60" s="173"/>
      <c r="K60" s="173"/>
      <c r="L60" s="315"/>
      <c r="M60" s="145"/>
      <c r="N60" s="145"/>
      <c r="O60" s="145"/>
      <c r="P60" s="145"/>
      <c r="Q60" s="145"/>
      <c r="R60" s="145"/>
      <c r="S60" s="144"/>
      <c r="T60" s="435"/>
      <c r="U60" s="155"/>
      <c r="V60" s="279"/>
      <c r="W60" s="280"/>
      <c r="X60" s="280"/>
    </row>
    <row r="61" spans="2:24" ht="21.6" customHeight="1" thickBot="1" x14ac:dyDescent="0.3">
      <c r="B61" s="433"/>
      <c r="C61" s="145"/>
      <c r="D61" s="146" t="s">
        <v>283</v>
      </c>
      <c r="E61" s="145"/>
      <c r="F61" s="151"/>
      <c r="G61" s="358" t="str">
        <f>'Multifamily Calculations'!M29</f>
        <v/>
      </c>
      <c r="H61" s="165"/>
      <c r="I61" s="696" t="str">
        <f>IF($E$28="N","","Requires completing unit info on MF Infiltration Credit Wrks Tab to get allowable infiltration credit")</f>
        <v/>
      </c>
      <c r="J61" s="697"/>
      <c r="K61" s="697"/>
      <c r="L61" s="697"/>
      <c r="M61" s="697"/>
      <c r="N61" s="697"/>
      <c r="O61" s="697"/>
      <c r="P61" s="697"/>
      <c r="Q61" s="697"/>
      <c r="R61" s="697"/>
      <c r="S61" s="145"/>
      <c r="T61" s="435"/>
      <c r="V61" s="513"/>
      <c r="W61" s="280"/>
      <c r="X61" s="280"/>
    </row>
    <row r="62" spans="2:24" ht="12.75" customHeight="1" x14ac:dyDescent="0.25">
      <c r="B62" s="440"/>
      <c r="C62" s="174"/>
      <c r="D62" s="316"/>
      <c r="E62" s="174"/>
      <c r="F62" s="174"/>
      <c r="G62" s="263"/>
      <c r="H62" s="174"/>
      <c r="I62" s="174"/>
      <c r="J62" s="327"/>
      <c r="K62" s="327"/>
      <c r="L62" s="174"/>
      <c r="M62" s="328"/>
      <c r="N62" s="328"/>
      <c r="O62" s="328"/>
      <c r="P62" s="174"/>
      <c r="Q62" s="174"/>
      <c r="R62" s="174"/>
      <c r="S62" s="174"/>
      <c r="T62" s="438"/>
      <c r="V62" s="513"/>
      <c r="W62" s="280"/>
      <c r="X62" s="280"/>
    </row>
    <row r="63" spans="2:24" ht="21" customHeight="1" thickBot="1" x14ac:dyDescent="0.3">
      <c r="B63" s="441"/>
      <c r="C63" s="161"/>
      <c r="D63" s="321"/>
      <c r="E63" s="161"/>
      <c r="F63" s="161"/>
      <c r="G63" s="322" t="str">
        <f>IF(G56&gt;1,((0.03*G56+7.5*(G57+1))),"")</f>
        <v/>
      </c>
      <c r="H63" s="161"/>
      <c r="I63" s="161"/>
      <c r="J63" s="324"/>
      <c r="K63" s="689" t="s">
        <v>163</v>
      </c>
      <c r="L63" s="689"/>
      <c r="M63" s="325"/>
      <c r="N63" s="325"/>
      <c r="O63" s="325"/>
      <c r="P63" s="326">
        <v>0</v>
      </c>
      <c r="Q63" s="690" t="s">
        <v>126</v>
      </c>
      <c r="R63" s="690"/>
      <c r="S63" s="466"/>
      <c r="T63" s="431"/>
      <c r="U63" s="155"/>
      <c r="V63" s="512" t="s">
        <v>183</v>
      </c>
      <c r="W63" s="364" t="s">
        <v>184</v>
      </c>
    </row>
    <row r="64" spans="2:24" ht="21.6" customHeight="1" thickBot="1" x14ac:dyDescent="0.3">
      <c r="B64" s="433"/>
      <c r="C64" s="145"/>
      <c r="D64" s="156" t="s">
        <v>289</v>
      </c>
      <c r="E64" s="145"/>
      <c r="F64" s="150"/>
      <c r="G64" s="411"/>
      <c r="H64" s="145"/>
      <c r="I64" s="149" t="s">
        <v>170</v>
      </c>
      <c r="J64" s="173"/>
      <c r="K64" s="691"/>
      <c r="L64" s="692"/>
      <c r="M64" s="464"/>
      <c r="N64" s="164" t="s">
        <v>182</v>
      </c>
      <c r="O64" s="464"/>
      <c r="P64" s="264">
        <v>3</v>
      </c>
      <c r="Q64" s="686" t="str">
        <f>IF(G65&gt;0.9, IF(V64=1, IF(K64+ X64 -100&gt;0,0,K64+ X64 -100), X64-100), "")</f>
        <v/>
      </c>
      <c r="R64" s="686"/>
      <c r="S64" s="262" t="str">
        <f>IF(Q64&lt;0,"","")</f>
        <v/>
      </c>
      <c r="T64" s="434"/>
      <c r="U64" s="155"/>
      <c r="V64" s="279">
        <v>2</v>
      </c>
      <c r="W64" s="280">
        <v>2</v>
      </c>
      <c r="X64" s="280" t="str">
        <f>IF(W64=1,"20","0")</f>
        <v>0</v>
      </c>
    </row>
    <row r="65" spans="2:24" ht="21.6" customHeight="1" thickBot="1" x14ac:dyDescent="0.3">
      <c r="B65" s="433"/>
      <c r="C65" s="145"/>
      <c r="D65" s="146" t="s">
        <v>165</v>
      </c>
      <c r="E65" s="145"/>
      <c r="F65" s="145"/>
      <c r="G65" s="166"/>
      <c r="H65" s="145"/>
      <c r="I65" s="148" t="s">
        <v>189</v>
      </c>
      <c r="J65" s="173"/>
      <c r="K65" s="693"/>
      <c r="L65" s="694"/>
      <c r="M65" s="464"/>
      <c r="N65" s="164" t="s">
        <v>182</v>
      </c>
      <c r="O65" s="464"/>
      <c r="P65" s="264">
        <v>3</v>
      </c>
      <c r="Q65" s="686" t="str">
        <f>IF(G65&gt;0.9, IF(V65=1, IF(K65+ X65 -50&gt;0,0,K65+ X65 -50), X65-50), "")</f>
        <v/>
      </c>
      <c r="R65" s="686"/>
      <c r="S65" s="262" t="str">
        <f>IF(Q65&lt;0,"","")</f>
        <v/>
      </c>
      <c r="T65" s="434"/>
      <c r="U65" s="155"/>
      <c r="V65" s="279">
        <v>2</v>
      </c>
      <c r="W65" s="280">
        <v>2</v>
      </c>
      <c r="X65" s="280" t="str">
        <f>IF(W65=1,"20","0")</f>
        <v>0</v>
      </c>
    </row>
    <row r="66" spans="2:24" ht="21.6" customHeight="1" thickBot="1" x14ac:dyDescent="0.3">
      <c r="B66" s="433"/>
      <c r="C66" s="145"/>
      <c r="D66" s="146" t="s">
        <v>162</v>
      </c>
      <c r="E66" s="145"/>
      <c r="F66" s="145"/>
      <c r="G66" s="356"/>
      <c r="H66" s="145"/>
      <c r="I66" s="148" t="s">
        <v>210</v>
      </c>
      <c r="J66" s="173"/>
      <c r="K66" s="684"/>
      <c r="L66" s="685"/>
      <c r="M66" s="464"/>
      <c r="N66" s="164" t="s">
        <v>182</v>
      </c>
      <c r="O66" s="464"/>
      <c r="P66" s="264">
        <v>3</v>
      </c>
      <c r="Q66" s="686" t="str">
        <f>IF(G65&gt;0.9, IF(V66=1, IF(K66+ X66 -50&gt;0,0,K66+ X66 -50), ""), "")</f>
        <v/>
      </c>
      <c r="R66" s="686"/>
      <c r="S66" s="262" t="str">
        <f>IF(Q66&lt;0,"","")</f>
        <v/>
      </c>
      <c r="T66" s="434"/>
      <c r="U66" s="155"/>
      <c r="V66" s="279">
        <v>2</v>
      </c>
      <c r="W66" s="280">
        <v>2</v>
      </c>
      <c r="X66" s="280" t="str">
        <f>IF(W66=1,"20","0")</f>
        <v>0</v>
      </c>
    </row>
    <row r="67" spans="2:24" ht="21.6" customHeight="1" thickBot="1" x14ac:dyDescent="0.3">
      <c r="B67" s="433"/>
      <c r="C67" s="145"/>
      <c r="D67" s="146" t="s">
        <v>265</v>
      </c>
      <c r="E67" s="145"/>
      <c r="F67" s="145"/>
      <c r="G67" s="356"/>
      <c r="H67" s="145"/>
      <c r="I67" s="695" t="str">
        <f>IF($E$28="N","","If dwelling units are side-by-side only, enter Blower Door # for dwelling")</f>
        <v/>
      </c>
      <c r="J67" s="695"/>
      <c r="K67" s="695"/>
      <c r="L67" s="695"/>
      <c r="M67" s="695"/>
      <c r="N67" s="695"/>
      <c r="O67" s="695"/>
      <c r="P67" s="167"/>
      <c r="Q67" s="465"/>
      <c r="R67" s="465"/>
      <c r="S67" s="165"/>
      <c r="T67" s="434"/>
      <c r="U67" s="155"/>
      <c r="V67" s="512"/>
    </row>
    <row r="68" spans="2:24" ht="21.6" customHeight="1" thickBot="1" x14ac:dyDescent="0.35">
      <c r="B68" s="433"/>
      <c r="C68" s="145"/>
      <c r="D68" s="146" t="s">
        <v>266</v>
      </c>
      <c r="E68" s="145"/>
      <c r="F68" s="145"/>
      <c r="G68" s="356"/>
      <c r="H68" s="145"/>
      <c r="I68" s="359"/>
      <c r="J68" s="314" t="str">
        <f>IF($E$28="N","","CFM@50")</f>
        <v/>
      </c>
      <c r="K68" s="147"/>
      <c r="L68" s="304"/>
      <c r="M68" s="464"/>
      <c r="N68" s="347"/>
      <c r="O68" s="464"/>
      <c r="P68" s="145"/>
      <c r="Q68" s="148" t="s">
        <v>125</v>
      </c>
      <c r="R68" s="169"/>
      <c r="S68" s="170"/>
      <c r="T68" s="435"/>
      <c r="U68" s="155"/>
      <c r="V68" s="512"/>
    </row>
    <row r="69" spans="2:24" ht="21.6" customHeight="1" thickBot="1" x14ac:dyDescent="0.3">
      <c r="B69" s="433"/>
      <c r="C69" s="145"/>
      <c r="D69" s="146" t="s">
        <v>220</v>
      </c>
      <c r="E69" s="145"/>
      <c r="F69" s="145"/>
      <c r="G69" s="462" t="str">
        <f>IF(G65&gt;1,(Q69/4),"")</f>
        <v/>
      </c>
      <c r="H69" s="145"/>
      <c r="I69" s="145"/>
      <c r="J69" s="173"/>
      <c r="K69" s="147"/>
      <c r="L69" s="303"/>
      <c r="M69" s="148"/>
      <c r="N69" s="169"/>
      <c r="O69" s="170"/>
      <c r="P69" s="170"/>
      <c r="Q69" s="687">
        <f>SUM(Q64:R66)</f>
        <v>0</v>
      </c>
      <c r="R69" s="688"/>
      <c r="S69" s="145"/>
      <c r="T69" s="435"/>
      <c r="U69" s="155"/>
      <c r="V69" s="512"/>
    </row>
    <row r="70" spans="2:24" ht="21.6" customHeight="1" thickBot="1" x14ac:dyDescent="0.3">
      <c r="B70" s="433"/>
      <c r="C70" s="145"/>
      <c r="D70" s="146" t="s">
        <v>222</v>
      </c>
      <c r="E70" s="145"/>
      <c r="F70" s="145"/>
      <c r="G70" s="462" t="str">
        <f>IF(G65&gt;1,(('Multifamily Calculations'!P23)-G69),"")</f>
        <v/>
      </c>
      <c r="H70" s="145"/>
      <c r="I70" s="461"/>
      <c r="J70" s="173"/>
      <c r="K70" s="173"/>
      <c r="L70" s="315"/>
      <c r="M70" s="145"/>
      <c r="N70" s="145"/>
      <c r="O70" s="145"/>
      <c r="P70" s="145"/>
      <c r="Q70" s="145"/>
      <c r="R70" s="145"/>
      <c r="S70" s="144"/>
      <c r="T70" s="435"/>
      <c r="U70" s="155"/>
      <c r="V70" s="512"/>
    </row>
    <row r="71" spans="2:24" ht="21.6" customHeight="1" thickBot="1" x14ac:dyDescent="0.3">
      <c r="B71" s="433"/>
      <c r="C71" s="145"/>
      <c r="D71" s="146" t="s">
        <v>283</v>
      </c>
      <c r="E71" s="145"/>
      <c r="F71" s="145"/>
      <c r="G71" s="358" t="str">
        <f>'Multifamily Calculations'!P29</f>
        <v/>
      </c>
      <c r="H71" s="145"/>
      <c r="I71" s="696" t="str">
        <f>IF($E$28="N","","Requires completing unit info on MF Infiltration Credit Wrks Tab to get allowable infiltration credit")</f>
        <v/>
      </c>
      <c r="J71" s="697"/>
      <c r="K71" s="697"/>
      <c r="L71" s="697"/>
      <c r="M71" s="697"/>
      <c r="N71" s="697"/>
      <c r="O71" s="697"/>
      <c r="P71" s="697"/>
      <c r="Q71" s="697"/>
      <c r="R71" s="697"/>
      <c r="S71" s="144"/>
      <c r="T71" s="435"/>
      <c r="U71" s="155"/>
      <c r="V71" s="512"/>
    </row>
    <row r="72" spans="2:24" ht="13.5" customHeight="1" x14ac:dyDescent="0.25">
      <c r="B72" s="433"/>
      <c r="C72" s="145"/>
      <c r="D72" s="145"/>
      <c r="E72" s="145"/>
      <c r="F72" s="151"/>
      <c r="G72" s="363"/>
      <c r="H72" s="16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435"/>
      <c r="U72" s="155"/>
      <c r="V72" s="512"/>
    </row>
    <row r="73" spans="2:24" ht="18" customHeight="1" thickBot="1" x14ac:dyDescent="0.3">
      <c r="B73" s="441"/>
      <c r="C73" s="161"/>
      <c r="D73" s="321"/>
      <c r="E73" s="161"/>
      <c r="F73" s="161"/>
      <c r="G73" s="322" t="str">
        <f>IF(G66&gt;1,((0.03*G66+7.5*(G67+1))),"")</f>
        <v/>
      </c>
      <c r="H73" s="161"/>
      <c r="I73" s="161"/>
      <c r="J73" s="324"/>
      <c r="K73" s="689" t="s">
        <v>163</v>
      </c>
      <c r="L73" s="689"/>
      <c r="M73" s="325"/>
      <c r="N73" s="325"/>
      <c r="O73" s="325"/>
      <c r="P73" s="326">
        <v>0</v>
      </c>
      <c r="Q73" s="690" t="s">
        <v>126</v>
      </c>
      <c r="R73" s="690"/>
      <c r="S73" s="466"/>
      <c r="T73" s="431"/>
      <c r="U73" s="155"/>
      <c r="V73" s="512" t="s">
        <v>183</v>
      </c>
      <c r="W73" s="364" t="s">
        <v>184</v>
      </c>
    </row>
    <row r="74" spans="2:24" ht="22.5" customHeight="1" thickBot="1" x14ac:dyDescent="0.3">
      <c r="B74" s="433"/>
      <c r="C74" s="145"/>
      <c r="D74" s="156" t="s">
        <v>289</v>
      </c>
      <c r="E74" s="145"/>
      <c r="F74" s="150"/>
      <c r="G74" s="411"/>
      <c r="H74" s="145"/>
      <c r="I74" s="149" t="s">
        <v>170</v>
      </c>
      <c r="J74" s="173"/>
      <c r="K74" s="691"/>
      <c r="L74" s="692"/>
      <c r="M74" s="464"/>
      <c r="N74" s="164" t="s">
        <v>182</v>
      </c>
      <c r="O74" s="464"/>
      <c r="P74" s="264">
        <v>2</v>
      </c>
      <c r="Q74" s="686" t="str">
        <f>IF(G75&gt;0.9, IF(V74=1, IF(K74+ X74 -100&gt;0,0,K74+ X74 -100), X74-100), "")</f>
        <v/>
      </c>
      <c r="R74" s="686"/>
      <c r="S74" s="262" t="str">
        <f>IF(Q74&lt;0,"","")</f>
        <v/>
      </c>
      <c r="T74" s="434"/>
      <c r="V74" s="364">
        <v>2</v>
      </c>
      <c r="W74" s="364">
        <v>2</v>
      </c>
      <c r="X74" s="280" t="str">
        <f>IF(W74=1,"20","0")</f>
        <v>0</v>
      </c>
    </row>
    <row r="75" spans="2:24" ht="23.25" customHeight="1" thickBot="1" x14ac:dyDescent="0.3">
      <c r="B75" s="433"/>
      <c r="C75" s="145"/>
      <c r="D75" s="146" t="s">
        <v>165</v>
      </c>
      <c r="E75" s="145"/>
      <c r="F75" s="145"/>
      <c r="G75" s="166"/>
      <c r="H75" s="145"/>
      <c r="I75" s="148" t="s">
        <v>189</v>
      </c>
      <c r="J75" s="173"/>
      <c r="K75" s="693"/>
      <c r="L75" s="694"/>
      <c r="M75" s="464"/>
      <c r="N75" s="164" t="s">
        <v>182</v>
      </c>
      <c r="O75" s="464"/>
      <c r="P75" s="264">
        <v>2</v>
      </c>
      <c r="Q75" s="686" t="str">
        <f>IF(G75&gt;0.9, IF(V75=1, IF(K75+ X75 -50&gt;0,0,K75+ X75 -50), X75-50), "")</f>
        <v/>
      </c>
      <c r="R75" s="686"/>
      <c r="S75" s="262" t="str">
        <f>IF(Q75&lt;0,"","")</f>
        <v/>
      </c>
      <c r="T75" s="434"/>
      <c r="V75" s="364">
        <v>2</v>
      </c>
      <c r="W75" s="364">
        <v>2</v>
      </c>
      <c r="X75" s="280" t="str">
        <f>IF(W75=1,"20","0")</f>
        <v>0</v>
      </c>
    </row>
    <row r="76" spans="2:24" ht="21.6" customHeight="1" thickBot="1" x14ac:dyDescent="0.3">
      <c r="B76" s="433"/>
      <c r="C76" s="145"/>
      <c r="D76" s="146" t="s">
        <v>162</v>
      </c>
      <c r="E76" s="145"/>
      <c r="F76" s="145"/>
      <c r="G76" s="356"/>
      <c r="H76" s="145"/>
      <c r="I76" s="148" t="s">
        <v>210</v>
      </c>
      <c r="J76" s="173"/>
      <c r="K76" s="684"/>
      <c r="L76" s="685"/>
      <c r="M76" s="464"/>
      <c r="N76" s="164" t="s">
        <v>182</v>
      </c>
      <c r="O76" s="464"/>
      <c r="P76" s="264">
        <v>3</v>
      </c>
      <c r="Q76" s="686" t="str">
        <f>IF(G75&gt;0.9, IF(V76=1, IF(K76+ X76 -50&gt;0,0,K76+ X76 -50), ""), "")</f>
        <v/>
      </c>
      <c r="R76" s="686"/>
      <c r="S76" s="262" t="str">
        <f>IF(Q76&lt;0,"","")</f>
        <v/>
      </c>
      <c r="T76" s="434"/>
      <c r="V76" s="364">
        <v>2</v>
      </c>
      <c r="W76" s="364">
        <v>2</v>
      </c>
      <c r="X76" s="280" t="str">
        <f>IF(W76=1,"20","0")</f>
        <v>0</v>
      </c>
    </row>
    <row r="77" spans="2:24" ht="21.6" customHeight="1" thickBot="1" x14ac:dyDescent="0.3">
      <c r="B77" s="433"/>
      <c r="C77" s="145"/>
      <c r="D77" s="146" t="s">
        <v>265</v>
      </c>
      <c r="E77" s="145"/>
      <c r="F77" s="145"/>
      <c r="G77" s="356"/>
      <c r="H77" s="145"/>
      <c r="I77" s="695" t="str">
        <f>IF($E$28="N","","If dwelling units are side-by-side only, enter Blower Door # for dwelling")</f>
        <v/>
      </c>
      <c r="J77" s="695"/>
      <c r="K77" s="695"/>
      <c r="L77" s="695"/>
      <c r="M77" s="695"/>
      <c r="N77" s="695"/>
      <c r="O77" s="695"/>
      <c r="P77" s="167"/>
      <c r="Q77" s="465"/>
      <c r="R77" s="465"/>
      <c r="S77" s="165"/>
      <c r="T77" s="434"/>
    </row>
    <row r="78" spans="2:24" ht="21.6" customHeight="1" thickBot="1" x14ac:dyDescent="0.35">
      <c r="B78" s="433"/>
      <c r="C78" s="145"/>
      <c r="D78" s="146" t="s">
        <v>266</v>
      </c>
      <c r="E78" s="145"/>
      <c r="F78" s="145"/>
      <c r="G78" s="356"/>
      <c r="H78" s="145"/>
      <c r="I78" s="359"/>
      <c r="J78" s="314" t="str">
        <f>IF($E$28="N","","CFM@50")</f>
        <v/>
      </c>
      <c r="K78" s="147"/>
      <c r="L78" s="304"/>
      <c r="M78" s="464"/>
      <c r="N78" s="347"/>
      <c r="O78" s="464"/>
      <c r="P78" s="145"/>
      <c r="Q78" s="148" t="s">
        <v>125</v>
      </c>
      <c r="R78" s="169"/>
      <c r="S78" s="170"/>
      <c r="T78" s="435"/>
    </row>
    <row r="79" spans="2:24" ht="21.6" customHeight="1" thickBot="1" x14ac:dyDescent="0.3">
      <c r="B79" s="433"/>
      <c r="C79" s="145"/>
      <c r="D79" s="146" t="s">
        <v>220</v>
      </c>
      <c r="E79" s="145"/>
      <c r="F79" s="145"/>
      <c r="G79" s="462" t="str">
        <f>IF(G75&gt;1,(Q79/4),"")</f>
        <v/>
      </c>
      <c r="H79" s="145"/>
      <c r="I79" s="145"/>
      <c r="J79" s="173"/>
      <c r="K79" s="147"/>
      <c r="L79" s="303"/>
      <c r="M79" s="148"/>
      <c r="N79" s="169"/>
      <c r="O79" s="170"/>
      <c r="P79" s="170"/>
      <c r="Q79" s="687">
        <f>SUM(Q74:R76)</f>
        <v>0</v>
      </c>
      <c r="R79" s="688"/>
      <c r="S79" s="145"/>
      <c r="T79" s="435"/>
    </row>
    <row r="80" spans="2:24" ht="21.6" customHeight="1" thickBot="1" x14ac:dyDescent="0.3">
      <c r="B80" s="433"/>
      <c r="C80" s="145"/>
      <c r="D80" s="146" t="s">
        <v>222</v>
      </c>
      <c r="E80" s="145"/>
      <c r="F80" s="145"/>
      <c r="G80" s="462" t="str">
        <f>IF(G75&gt;1,(('Multifamily Calculations'!S23)-G79),"")</f>
        <v/>
      </c>
      <c r="H80" s="145"/>
      <c r="I80" s="461"/>
      <c r="J80" s="173"/>
      <c r="K80" s="173"/>
      <c r="L80" s="315"/>
      <c r="M80" s="145"/>
      <c r="N80" s="145"/>
      <c r="O80" s="145"/>
      <c r="P80" s="145"/>
      <c r="Q80" s="145"/>
      <c r="R80" s="145"/>
      <c r="S80" s="144"/>
      <c r="T80" s="435"/>
    </row>
    <row r="81" spans="2:21" ht="21.6" customHeight="1" thickBot="1" x14ac:dyDescent="0.3">
      <c r="B81" s="433"/>
      <c r="C81" s="145"/>
      <c r="D81" s="146" t="s">
        <v>283</v>
      </c>
      <c r="E81" s="145"/>
      <c r="F81" s="145"/>
      <c r="G81" s="358" t="str">
        <f>'Multifamily Calculations'!S29</f>
        <v/>
      </c>
      <c r="H81" s="145"/>
      <c r="I81" s="696" t="str">
        <f>IF($E$28="N","","Requires completing unit info on MF Infiltration Credit Wrks Tab to get allowable infiltration credit")</f>
        <v/>
      </c>
      <c r="J81" s="697"/>
      <c r="K81" s="697"/>
      <c r="L81" s="697"/>
      <c r="M81" s="697"/>
      <c r="N81" s="697"/>
      <c r="O81" s="697"/>
      <c r="P81" s="697"/>
      <c r="Q81" s="697"/>
      <c r="R81" s="697"/>
      <c r="S81" s="144"/>
      <c r="T81" s="435"/>
    </row>
    <row r="82" spans="2:21" x14ac:dyDescent="0.25">
      <c r="B82" s="680" t="s">
        <v>157</v>
      </c>
      <c r="C82" s="681"/>
      <c r="D82" s="681"/>
      <c r="E82" s="681"/>
      <c r="F82" s="681"/>
      <c r="G82" s="681"/>
      <c r="H82" s="681"/>
      <c r="I82" s="681"/>
      <c r="J82" s="681"/>
      <c r="K82" s="681"/>
      <c r="L82" s="681"/>
      <c r="M82" s="681"/>
      <c r="N82" s="681"/>
      <c r="O82" s="681"/>
      <c r="P82" s="681"/>
      <c r="Q82" s="681"/>
      <c r="R82" s="681"/>
      <c r="S82" s="681"/>
      <c r="T82" s="682"/>
      <c r="U82" s="155"/>
    </row>
    <row r="83" spans="2:21" x14ac:dyDescent="0.25">
      <c r="B83" s="683"/>
      <c r="C83" s="681"/>
      <c r="D83" s="681"/>
      <c r="E83" s="681"/>
      <c r="F83" s="681"/>
      <c r="G83" s="681"/>
      <c r="H83" s="681"/>
      <c r="I83" s="681"/>
      <c r="J83" s="681"/>
      <c r="K83" s="681"/>
      <c r="L83" s="681"/>
      <c r="M83" s="681"/>
      <c r="N83" s="681"/>
      <c r="O83" s="681"/>
      <c r="P83" s="681"/>
      <c r="Q83" s="681"/>
      <c r="R83" s="681"/>
      <c r="S83" s="681"/>
      <c r="T83" s="682"/>
      <c r="U83" s="155"/>
    </row>
    <row r="84" spans="2:21" ht="15" customHeight="1" x14ac:dyDescent="0.25">
      <c r="B84" s="723"/>
      <c r="C84" s="724"/>
      <c r="D84" s="724"/>
      <c r="E84" s="724"/>
      <c r="F84" s="724"/>
      <c r="G84" s="724"/>
      <c r="H84" s="724"/>
      <c r="I84" s="724"/>
      <c r="J84" s="724"/>
      <c r="K84" s="724"/>
      <c r="L84" s="724"/>
      <c r="M84" s="724"/>
      <c r="N84" s="724"/>
      <c r="O84" s="724"/>
      <c r="P84" s="724"/>
      <c r="Q84" s="724"/>
      <c r="R84" s="724"/>
      <c r="S84" s="724"/>
      <c r="T84" s="725"/>
    </row>
    <row r="85" spans="2:21" ht="15" customHeight="1" x14ac:dyDescent="0.25">
      <c r="B85" s="726"/>
      <c r="C85" s="727"/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727"/>
      <c r="P85" s="727"/>
      <c r="Q85" s="727"/>
      <c r="R85" s="727"/>
      <c r="S85" s="727"/>
      <c r="T85" s="728"/>
    </row>
    <row r="86" spans="2:21" ht="15" customHeight="1" x14ac:dyDescent="0.25">
      <c r="B86" s="726"/>
      <c r="C86" s="727"/>
      <c r="D86" s="727"/>
      <c r="E86" s="727"/>
      <c r="F86" s="727"/>
      <c r="G86" s="727"/>
      <c r="H86" s="727"/>
      <c r="I86" s="727"/>
      <c r="J86" s="727"/>
      <c r="K86" s="727"/>
      <c r="L86" s="727"/>
      <c r="M86" s="727"/>
      <c r="N86" s="727"/>
      <c r="O86" s="727"/>
      <c r="P86" s="727"/>
      <c r="Q86" s="727"/>
      <c r="R86" s="727"/>
      <c r="S86" s="727"/>
      <c r="T86" s="728"/>
    </row>
    <row r="87" spans="2:21" ht="15" customHeight="1" x14ac:dyDescent="0.25">
      <c r="B87" s="726"/>
      <c r="C87" s="727"/>
      <c r="D87" s="727"/>
      <c r="E87" s="727"/>
      <c r="F87" s="727"/>
      <c r="G87" s="727"/>
      <c r="H87" s="727"/>
      <c r="I87" s="727"/>
      <c r="J87" s="727"/>
      <c r="K87" s="727"/>
      <c r="L87" s="727"/>
      <c r="M87" s="727"/>
      <c r="N87" s="727"/>
      <c r="O87" s="727"/>
      <c r="P87" s="727"/>
      <c r="Q87" s="727"/>
      <c r="R87" s="727"/>
      <c r="S87" s="727"/>
      <c r="T87" s="728"/>
    </row>
    <row r="88" spans="2:21" ht="15" customHeight="1" x14ac:dyDescent="0.25">
      <c r="B88" s="726"/>
      <c r="C88" s="727"/>
      <c r="D88" s="727"/>
      <c r="E88" s="727"/>
      <c r="F88" s="727"/>
      <c r="G88" s="727"/>
      <c r="H88" s="727"/>
      <c r="I88" s="727"/>
      <c r="J88" s="727"/>
      <c r="K88" s="727"/>
      <c r="L88" s="727"/>
      <c r="M88" s="727"/>
      <c r="N88" s="727"/>
      <c r="O88" s="727"/>
      <c r="P88" s="727"/>
      <c r="Q88" s="727"/>
      <c r="R88" s="727"/>
      <c r="S88" s="727"/>
      <c r="T88" s="728"/>
    </row>
    <row r="89" spans="2:21" ht="15" customHeight="1" x14ac:dyDescent="0.25">
      <c r="B89" s="726"/>
      <c r="C89" s="727"/>
      <c r="D89" s="727"/>
      <c r="E89" s="727"/>
      <c r="F89" s="727"/>
      <c r="G89" s="727"/>
      <c r="H89" s="727"/>
      <c r="I89" s="727"/>
      <c r="J89" s="727"/>
      <c r="K89" s="727"/>
      <c r="L89" s="727"/>
      <c r="M89" s="727"/>
      <c r="N89" s="727"/>
      <c r="O89" s="727"/>
      <c r="P89" s="727"/>
      <c r="Q89" s="727"/>
      <c r="R89" s="727"/>
      <c r="S89" s="727"/>
      <c r="T89" s="728"/>
    </row>
    <row r="90" spans="2:21" ht="15" customHeight="1" x14ac:dyDescent="0.25">
      <c r="B90" s="726"/>
      <c r="C90" s="727"/>
      <c r="D90" s="727"/>
      <c r="E90" s="727"/>
      <c r="F90" s="727"/>
      <c r="G90" s="727"/>
      <c r="H90" s="727"/>
      <c r="I90" s="727"/>
      <c r="J90" s="727"/>
      <c r="K90" s="727"/>
      <c r="L90" s="727"/>
      <c r="M90" s="727"/>
      <c r="N90" s="727"/>
      <c r="O90" s="727"/>
      <c r="P90" s="727"/>
      <c r="Q90" s="727"/>
      <c r="R90" s="727"/>
      <c r="S90" s="727"/>
      <c r="T90" s="728"/>
    </row>
    <row r="91" spans="2:21" ht="15" customHeight="1" x14ac:dyDescent="0.25">
      <c r="B91" s="726"/>
      <c r="C91" s="727"/>
      <c r="D91" s="727"/>
      <c r="E91" s="727"/>
      <c r="F91" s="727"/>
      <c r="G91" s="727"/>
      <c r="H91" s="727"/>
      <c r="I91" s="727"/>
      <c r="J91" s="727"/>
      <c r="K91" s="727"/>
      <c r="L91" s="727"/>
      <c r="M91" s="727"/>
      <c r="N91" s="727"/>
      <c r="O91" s="727"/>
      <c r="P91" s="727"/>
      <c r="Q91" s="727"/>
      <c r="R91" s="727"/>
      <c r="S91" s="727"/>
      <c r="T91" s="728"/>
    </row>
    <row r="92" spans="2:21" ht="15" customHeight="1" x14ac:dyDescent="0.25">
      <c r="B92" s="726"/>
      <c r="C92" s="727"/>
      <c r="D92" s="727"/>
      <c r="E92" s="727"/>
      <c r="F92" s="727"/>
      <c r="G92" s="727"/>
      <c r="H92" s="727"/>
      <c r="I92" s="727"/>
      <c r="J92" s="727"/>
      <c r="K92" s="727"/>
      <c r="L92" s="727"/>
      <c r="M92" s="727"/>
      <c r="N92" s="727"/>
      <c r="O92" s="727"/>
      <c r="P92" s="727"/>
      <c r="Q92" s="727"/>
      <c r="R92" s="727"/>
      <c r="S92" s="727"/>
      <c r="T92" s="728"/>
    </row>
    <row r="93" spans="2:21" ht="15" customHeight="1" x14ac:dyDescent="0.25">
      <c r="B93" s="726"/>
      <c r="C93" s="727"/>
      <c r="D93" s="727"/>
      <c r="E93" s="727"/>
      <c r="F93" s="727"/>
      <c r="G93" s="727"/>
      <c r="H93" s="727"/>
      <c r="I93" s="727"/>
      <c r="J93" s="727"/>
      <c r="K93" s="727"/>
      <c r="L93" s="727"/>
      <c r="M93" s="727"/>
      <c r="N93" s="727"/>
      <c r="O93" s="727"/>
      <c r="P93" s="727"/>
      <c r="Q93" s="727"/>
      <c r="R93" s="727"/>
      <c r="S93" s="727"/>
      <c r="T93" s="728"/>
    </row>
    <row r="94" spans="2:21" ht="15" customHeight="1" x14ac:dyDescent="0.25">
      <c r="B94" s="726"/>
      <c r="C94" s="727"/>
      <c r="D94" s="727"/>
      <c r="E94" s="727"/>
      <c r="F94" s="727"/>
      <c r="G94" s="727"/>
      <c r="H94" s="727"/>
      <c r="I94" s="727"/>
      <c r="J94" s="727"/>
      <c r="K94" s="727"/>
      <c r="L94" s="727"/>
      <c r="M94" s="727"/>
      <c r="N94" s="727"/>
      <c r="O94" s="727"/>
      <c r="P94" s="727"/>
      <c r="Q94" s="727"/>
      <c r="R94" s="727"/>
      <c r="S94" s="727"/>
      <c r="T94" s="728"/>
    </row>
    <row r="95" spans="2:21" ht="15" customHeight="1" x14ac:dyDescent="0.25">
      <c r="B95" s="726"/>
      <c r="C95" s="727"/>
      <c r="D95" s="727"/>
      <c r="E95" s="727"/>
      <c r="F95" s="727"/>
      <c r="G95" s="727"/>
      <c r="H95" s="727"/>
      <c r="I95" s="727"/>
      <c r="J95" s="727"/>
      <c r="K95" s="727"/>
      <c r="L95" s="727"/>
      <c r="M95" s="727"/>
      <c r="N95" s="727"/>
      <c r="O95" s="727"/>
      <c r="P95" s="727"/>
      <c r="Q95" s="727"/>
      <c r="R95" s="727"/>
      <c r="S95" s="727"/>
      <c r="T95" s="728"/>
    </row>
    <row r="96" spans="2:21" ht="15" customHeight="1" x14ac:dyDescent="0.25">
      <c r="B96" s="726"/>
      <c r="C96" s="727"/>
      <c r="D96" s="727"/>
      <c r="E96" s="727"/>
      <c r="F96" s="727"/>
      <c r="G96" s="727"/>
      <c r="H96" s="727"/>
      <c r="I96" s="727"/>
      <c r="J96" s="727"/>
      <c r="K96" s="727"/>
      <c r="L96" s="727"/>
      <c r="M96" s="727"/>
      <c r="N96" s="727"/>
      <c r="O96" s="727"/>
      <c r="P96" s="727"/>
      <c r="Q96" s="727"/>
      <c r="R96" s="727"/>
      <c r="S96" s="727"/>
      <c r="T96" s="728"/>
    </row>
    <row r="97" spans="2:20" ht="15" customHeight="1" x14ac:dyDescent="0.25">
      <c r="B97" s="726"/>
      <c r="C97" s="727"/>
      <c r="D97" s="727"/>
      <c r="E97" s="727"/>
      <c r="F97" s="727"/>
      <c r="G97" s="727"/>
      <c r="H97" s="727"/>
      <c r="I97" s="727"/>
      <c r="J97" s="727"/>
      <c r="K97" s="727"/>
      <c r="L97" s="727"/>
      <c r="M97" s="727"/>
      <c r="N97" s="727"/>
      <c r="O97" s="727"/>
      <c r="P97" s="727"/>
      <c r="Q97" s="727"/>
      <c r="R97" s="727"/>
      <c r="S97" s="727"/>
      <c r="T97" s="728"/>
    </row>
    <row r="98" spans="2:20" ht="15" customHeight="1" x14ac:dyDescent="0.25">
      <c r="B98" s="729"/>
      <c r="C98" s="730"/>
      <c r="D98" s="730"/>
      <c r="E98" s="730"/>
      <c r="F98" s="730"/>
      <c r="G98" s="730"/>
      <c r="H98" s="730"/>
      <c r="I98" s="730"/>
      <c r="J98" s="730"/>
      <c r="K98" s="730"/>
      <c r="L98" s="730"/>
      <c r="M98" s="730"/>
      <c r="N98" s="730"/>
      <c r="O98" s="730"/>
      <c r="P98" s="730"/>
      <c r="Q98" s="730"/>
      <c r="R98" s="730"/>
      <c r="S98" s="730"/>
      <c r="T98" s="731"/>
    </row>
    <row r="99" spans="2:20" ht="15" customHeight="1" x14ac:dyDescent="0.25">
      <c r="B99" s="723"/>
      <c r="C99" s="724"/>
      <c r="D99" s="724"/>
      <c r="E99" s="724"/>
      <c r="F99" s="724"/>
      <c r="G99" s="724"/>
      <c r="H99" s="724"/>
      <c r="I99" s="724"/>
      <c r="J99" s="724"/>
      <c r="K99" s="724"/>
      <c r="L99" s="724"/>
      <c r="M99" s="724"/>
      <c r="N99" s="724"/>
      <c r="O99" s="724"/>
      <c r="P99" s="724"/>
      <c r="Q99" s="724"/>
      <c r="R99" s="724"/>
      <c r="S99" s="724"/>
      <c r="T99" s="725"/>
    </row>
    <row r="100" spans="2:20" ht="15" customHeight="1" x14ac:dyDescent="0.25">
      <c r="B100" s="726"/>
      <c r="C100" s="727"/>
      <c r="D100" s="727"/>
      <c r="E100" s="727"/>
      <c r="F100" s="727"/>
      <c r="G100" s="727"/>
      <c r="H100" s="727"/>
      <c r="I100" s="727"/>
      <c r="J100" s="727"/>
      <c r="K100" s="727"/>
      <c r="L100" s="727"/>
      <c r="M100" s="727"/>
      <c r="N100" s="727"/>
      <c r="O100" s="727"/>
      <c r="P100" s="727"/>
      <c r="Q100" s="727"/>
      <c r="R100" s="727"/>
      <c r="S100" s="727"/>
      <c r="T100" s="728"/>
    </row>
    <row r="101" spans="2:20" ht="15" customHeight="1" x14ac:dyDescent="0.25">
      <c r="B101" s="726"/>
      <c r="C101" s="727"/>
      <c r="D101" s="727"/>
      <c r="E101" s="727"/>
      <c r="F101" s="727"/>
      <c r="G101" s="727"/>
      <c r="H101" s="727"/>
      <c r="I101" s="727"/>
      <c r="J101" s="727"/>
      <c r="K101" s="727"/>
      <c r="L101" s="727"/>
      <c r="M101" s="727"/>
      <c r="N101" s="727"/>
      <c r="O101" s="727"/>
      <c r="P101" s="727"/>
      <c r="Q101" s="727"/>
      <c r="R101" s="727"/>
      <c r="S101" s="727"/>
      <c r="T101" s="728"/>
    </row>
    <row r="102" spans="2:20" ht="15" customHeight="1" x14ac:dyDescent="0.25">
      <c r="B102" s="726"/>
      <c r="C102" s="727"/>
      <c r="D102" s="727"/>
      <c r="E102" s="727"/>
      <c r="F102" s="727"/>
      <c r="G102" s="727"/>
      <c r="H102" s="727"/>
      <c r="I102" s="727"/>
      <c r="J102" s="727"/>
      <c r="K102" s="727"/>
      <c r="L102" s="727"/>
      <c r="M102" s="727"/>
      <c r="N102" s="727"/>
      <c r="O102" s="727"/>
      <c r="P102" s="727"/>
      <c r="Q102" s="727"/>
      <c r="R102" s="727"/>
      <c r="S102" s="727"/>
      <c r="T102" s="728"/>
    </row>
    <row r="103" spans="2:20" ht="15" customHeight="1" x14ac:dyDescent="0.25">
      <c r="B103" s="726"/>
      <c r="C103" s="727"/>
      <c r="D103" s="727"/>
      <c r="E103" s="727"/>
      <c r="F103" s="727"/>
      <c r="G103" s="727"/>
      <c r="H103" s="727"/>
      <c r="I103" s="727"/>
      <c r="J103" s="727"/>
      <c r="K103" s="727"/>
      <c r="L103" s="727"/>
      <c r="M103" s="727"/>
      <c r="N103" s="727"/>
      <c r="O103" s="727"/>
      <c r="P103" s="727"/>
      <c r="Q103" s="727"/>
      <c r="R103" s="727"/>
      <c r="S103" s="727"/>
      <c r="T103" s="728"/>
    </row>
    <row r="104" spans="2:20" ht="15" customHeight="1" x14ac:dyDescent="0.25">
      <c r="B104" s="726"/>
      <c r="C104" s="727"/>
      <c r="D104" s="727"/>
      <c r="E104" s="727"/>
      <c r="F104" s="727"/>
      <c r="G104" s="727"/>
      <c r="H104" s="727"/>
      <c r="I104" s="727"/>
      <c r="J104" s="727"/>
      <c r="K104" s="727"/>
      <c r="L104" s="727"/>
      <c r="M104" s="727"/>
      <c r="N104" s="727"/>
      <c r="O104" s="727"/>
      <c r="P104" s="727"/>
      <c r="Q104" s="727"/>
      <c r="R104" s="727"/>
      <c r="S104" s="727"/>
      <c r="T104" s="728"/>
    </row>
    <row r="105" spans="2:20" ht="15" customHeight="1" x14ac:dyDescent="0.25">
      <c r="B105" s="726"/>
      <c r="C105" s="727"/>
      <c r="D105" s="727"/>
      <c r="E105" s="727"/>
      <c r="F105" s="727"/>
      <c r="G105" s="727"/>
      <c r="H105" s="727"/>
      <c r="I105" s="727"/>
      <c r="J105" s="727"/>
      <c r="K105" s="727"/>
      <c r="L105" s="727"/>
      <c r="M105" s="727"/>
      <c r="N105" s="727"/>
      <c r="O105" s="727"/>
      <c r="P105" s="727"/>
      <c r="Q105" s="727"/>
      <c r="R105" s="727"/>
      <c r="S105" s="727"/>
      <c r="T105" s="728"/>
    </row>
    <row r="106" spans="2:20" ht="15" customHeight="1" x14ac:dyDescent="0.25">
      <c r="B106" s="726"/>
      <c r="C106" s="727"/>
      <c r="D106" s="727"/>
      <c r="E106" s="727"/>
      <c r="F106" s="727"/>
      <c r="G106" s="727"/>
      <c r="H106" s="727"/>
      <c r="I106" s="727"/>
      <c r="J106" s="727"/>
      <c r="K106" s="727"/>
      <c r="L106" s="727"/>
      <c r="M106" s="727"/>
      <c r="N106" s="727"/>
      <c r="O106" s="727"/>
      <c r="P106" s="727"/>
      <c r="Q106" s="727"/>
      <c r="R106" s="727"/>
      <c r="S106" s="727"/>
      <c r="T106" s="728"/>
    </row>
    <row r="107" spans="2:20" ht="15" customHeight="1" x14ac:dyDescent="0.25">
      <c r="B107" s="726"/>
      <c r="C107" s="727"/>
      <c r="D107" s="727"/>
      <c r="E107" s="727"/>
      <c r="F107" s="727"/>
      <c r="G107" s="727"/>
      <c r="H107" s="727"/>
      <c r="I107" s="727"/>
      <c r="J107" s="727"/>
      <c r="K107" s="727"/>
      <c r="L107" s="727"/>
      <c r="M107" s="727"/>
      <c r="N107" s="727"/>
      <c r="O107" s="727"/>
      <c r="P107" s="727"/>
      <c r="Q107" s="727"/>
      <c r="R107" s="727"/>
      <c r="S107" s="727"/>
      <c r="T107" s="728"/>
    </row>
    <row r="108" spans="2:20" ht="15" customHeight="1" x14ac:dyDescent="0.25">
      <c r="B108" s="726"/>
      <c r="C108" s="727"/>
      <c r="D108" s="727"/>
      <c r="E108" s="727"/>
      <c r="F108" s="727"/>
      <c r="G108" s="727"/>
      <c r="H108" s="727"/>
      <c r="I108" s="727"/>
      <c r="J108" s="727"/>
      <c r="K108" s="727"/>
      <c r="L108" s="727"/>
      <c r="M108" s="727"/>
      <c r="N108" s="727"/>
      <c r="O108" s="727"/>
      <c r="P108" s="727"/>
      <c r="Q108" s="727"/>
      <c r="R108" s="727"/>
      <c r="S108" s="727"/>
      <c r="T108" s="728"/>
    </row>
    <row r="109" spans="2:20" ht="15" customHeight="1" x14ac:dyDescent="0.25">
      <c r="B109" s="726"/>
      <c r="C109" s="727"/>
      <c r="D109" s="727"/>
      <c r="E109" s="727"/>
      <c r="F109" s="727"/>
      <c r="G109" s="727"/>
      <c r="H109" s="727"/>
      <c r="I109" s="727"/>
      <c r="J109" s="727"/>
      <c r="K109" s="727"/>
      <c r="L109" s="727"/>
      <c r="M109" s="727"/>
      <c r="N109" s="727"/>
      <c r="O109" s="727"/>
      <c r="P109" s="727"/>
      <c r="Q109" s="727"/>
      <c r="R109" s="727"/>
      <c r="S109" s="727"/>
      <c r="T109" s="728"/>
    </row>
    <row r="110" spans="2:20" ht="15" customHeight="1" x14ac:dyDescent="0.25">
      <c r="B110" s="726"/>
      <c r="C110" s="727"/>
      <c r="D110" s="727"/>
      <c r="E110" s="727"/>
      <c r="F110" s="727"/>
      <c r="G110" s="727"/>
      <c r="H110" s="727"/>
      <c r="I110" s="727"/>
      <c r="J110" s="727"/>
      <c r="K110" s="727"/>
      <c r="L110" s="727"/>
      <c r="M110" s="727"/>
      <c r="N110" s="727"/>
      <c r="O110" s="727"/>
      <c r="P110" s="727"/>
      <c r="Q110" s="727"/>
      <c r="R110" s="727"/>
      <c r="S110" s="727"/>
      <c r="T110" s="728"/>
    </row>
    <row r="111" spans="2:20" ht="15" customHeight="1" x14ac:dyDescent="0.25">
      <c r="B111" s="729"/>
      <c r="C111" s="730"/>
      <c r="D111" s="730"/>
      <c r="E111" s="730"/>
      <c r="F111" s="730"/>
      <c r="G111" s="730"/>
      <c r="H111" s="730"/>
      <c r="I111" s="730"/>
      <c r="J111" s="730"/>
      <c r="K111" s="730"/>
      <c r="L111" s="730"/>
      <c r="M111" s="730"/>
      <c r="N111" s="730"/>
      <c r="O111" s="730"/>
      <c r="P111" s="730"/>
      <c r="Q111" s="730"/>
      <c r="R111" s="730"/>
      <c r="S111" s="730"/>
      <c r="T111" s="731"/>
    </row>
    <row r="112" spans="2:20" x14ac:dyDescent="0.25">
      <c r="B112" s="732"/>
      <c r="C112" s="733"/>
      <c r="D112" s="733"/>
      <c r="E112" s="733"/>
      <c r="F112" s="733"/>
      <c r="G112" s="733"/>
      <c r="H112" s="733"/>
      <c r="I112" s="733"/>
      <c r="J112" s="733"/>
      <c r="K112" s="733"/>
      <c r="L112" s="733"/>
      <c r="M112" s="733"/>
      <c r="N112" s="733"/>
      <c r="O112" s="733"/>
      <c r="P112" s="733"/>
      <c r="Q112" s="733"/>
      <c r="R112" s="733"/>
      <c r="S112" s="733"/>
      <c r="T112" s="734"/>
    </row>
    <row r="113" spans="2:20" x14ac:dyDescent="0.25">
      <c r="B113" s="735"/>
      <c r="C113" s="736"/>
      <c r="D113" s="736"/>
      <c r="E113" s="736"/>
      <c r="F113" s="736"/>
      <c r="G113" s="736"/>
      <c r="H113" s="736"/>
      <c r="I113" s="736"/>
      <c r="J113" s="736"/>
      <c r="K113" s="736"/>
      <c r="L113" s="736"/>
      <c r="M113" s="736"/>
      <c r="N113" s="736"/>
      <c r="O113" s="736"/>
      <c r="P113" s="736"/>
      <c r="Q113" s="736"/>
      <c r="R113" s="736"/>
      <c r="S113" s="736"/>
      <c r="T113" s="737"/>
    </row>
    <row r="114" spans="2:20" x14ac:dyDescent="0.25">
      <c r="B114" s="735"/>
      <c r="C114" s="736"/>
      <c r="D114" s="736"/>
      <c r="E114" s="736"/>
      <c r="F114" s="736"/>
      <c r="G114" s="736"/>
      <c r="H114" s="736"/>
      <c r="I114" s="736"/>
      <c r="J114" s="736"/>
      <c r="K114" s="736"/>
      <c r="L114" s="736"/>
      <c r="M114" s="736"/>
      <c r="N114" s="736"/>
      <c r="O114" s="736"/>
      <c r="P114" s="736"/>
      <c r="Q114" s="736"/>
      <c r="R114" s="736"/>
      <c r="S114" s="736"/>
      <c r="T114" s="737"/>
    </row>
    <row r="115" spans="2:20" x14ac:dyDescent="0.25">
      <c r="B115" s="735"/>
      <c r="C115" s="736"/>
      <c r="D115" s="736"/>
      <c r="E115" s="736"/>
      <c r="F115" s="736"/>
      <c r="G115" s="736"/>
      <c r="H115" s="736"/>
      <c r="I115" s="736"/>
      <c r="J115" s="736"/>
      <c r="K115" s="736"/>
      <c r="L115" s="736"/>
      <c r="M115" s="736"/>
      <c r="N115" s="736"/>
      <c r="O115" s="736"/>
      <c r="P115" s="736"/>
      <c r="Q115" s="736"/>
      <c r="R115" s="736"/>
      <c r="S115" s="736"/>
      <c r="T115" s="737"/>
    </row>
    <row r="116" spans="2:20" x14ac:dyDescent="0.25">
      <c r="B116" s="735"/>
      <c r="C116" s="736"/>
      <c r="D116" s="736"/>
      <c r="E116" s="736"/>
      <c r="F116" s="736"/>
      <c r="G116" s="736"/>
      <c r="H116" s="736"/>
      <c r="I116" s="736"/>
      <c r="J116" s="736"/>
      <c r="K116" s="736"/>
      <c r="L116" s="736"/>
      <c r="M116" s="736"/>
      <c r="N116" s="736"/>
      <c r="O116" s="736"/>
      <c r="P116" s="736"/>
      <c r="Q116" s="736"/>
      <c r="R116" s="736"/>
      <c r="S116" s="736"/>
      <c r="T116" s="737"/>
    </row>
    <row r="117" spans="2:20" x14ac:dyDescent="0.25">
      <c r="B117" s="735"/>
      <c r="C117" s="736"/>
      <c r="D117" s="736"/>
      <c r="E117" s="736"/>
      <c r="F117" s="736"/>
      <c r="G117" s="736"/>
      <c r="H117" s="736"/>
      <c r="I117" s="736"/>
      <c r="J117" s="736"/>
      <c r="K117" s="736"/>
      <c r="L117" s="736"/>
      <c r="M117" s="736"/>
      <c r="N117" s="736"/>
      <c r="O117" s="736"/>
      <c r="P117" s="736"/>
      <c r="Q117" s="736"/>
      <c r="R117" s="736"/>
      <c r="S117" s="736"/>
      <c r="T117" s="737"/>
    </row>
    <row r="118" spans="2:20" x14ac:dyDescent="0.25">
      <c r="B118" s="735"/>
      <c r="C118" s="736"/>
      <c r="D118" s="736"/>
      <c r="E118" s="736"/>
      <c r="F118" s="736"/>
      <c r="G118" s="736"/>
      <c r="H118" s="736"/>
      <c r="I118" s="736"/>
      <c r="J118" s="736"/>
      <c r="K118" s="736"/>
      <c r="L118" s="736"/>
      <c r="M118" s="736"/>
      <c r="N118" s="736"/>
      <c r="O118" s="736"/>
      <c r="P118" s="736"/>
      <c r="Q118" s="736"/>
      <c r="R118" s="736"/>
      <c r="S118" s="736"/>
      <c r="T118" s="737"/>
    </row>
    <row r="119" spans="2:20" x14ac:dyDescent="0.25">
      <c r="B119" s="735"/>
      <c r="C119" s="736"/>
      <c r="D119" s="736"/>
      <c r="E119" s="736"/>
      <c r="F119" s="736"/>
      <c r="G119" s="736"/>
      <c r="H119" s="736"/>
      <c r="I119" s="736"/>
      <c r="J119" s="736"/>
      <c r="K119" s="736"/>
      <c r="L119" s="736"/>
      <c r="M119" s="736"/>
      <c r="N119" s="736"/>
      <c r="O119" s="736"/>
      <c r="P119" s="736"/>
      <c r="Q119" s="736"/>
      <c r="R119" s="736"/>
      <c r="S119" s="736"/>
      <c r="T119" s="737"/>
    </row>
    <row r="120" spans="2:20" x14ac:dyDescent="0.25">
      <c r="B120" s="735"/>
      <c r="C120" s="736"/>
      <c r="D120" s="736"/>
      <c r="E120" s="736"/>
      <c r="F120" s="736"/>
      <c r="G120" s="736"/>
      <c r="H120" s="736"/>
      <c r="I120" s="736"/>
      <c r="J120" s="736"/>
      <c r="K120" s="736"/>
      <c r="L120" s="736"/>
      <c r="M120" s="736"/>
      <c r="N120" s="736"/>
      <c r="O120" s="736"/>
      <c r="P120" s="736"/>
      <c r="Q120" s="736"/>
      <c r="R120" s="736"/>
      <c r="S120" s="736"/>
      <c r="T120" s="737"/>
    </row>
    <row r="121" spans="2:20" x14ac:dyDescent="0.25">
      <c r="B121" s="735"/>
      <c r="C121" s="736"/>
      <c r="D121" s="736"/>
      <c r="E121" s="736"/>
      <c r="F121" s="736"/>
      <c r="G121" s="736"/>
      <c r="H121" s="736"/>
      <c r="I121" s="736"/>
      <c r="J121" s="736"/>
      <c r="K121" s="736"/>
      <c r="L121" s="736"/>
      <c r="M121" s="736"/>
      <c r="N121" s="736"/>
      <c r="O121" s="736"/>
      <c r="P121" s="736"/>
      <c r="Q121" s="736"/>
      <c r="R121" s="736"/>
      <c r="S121" s="736"/>
      <c r="T121" s="737"/>
    </row>
    <row r="122" spans="2:20" x14ac:dyDescent="0.25">
      <c r="B122" s="735"/>
      <c r="C122" s="736"/>
      <c r="D122" s="736"/>
      <c r="E122" s="736"/>
      <c r="F122" s="736"/>
      <c r="G122" s="736"/>
      <c r="H122" s="736"/>
      <c r="I122" s="736"/>
      <c r="J122" s="736"/>
      <c r="K122" s="736"/>
      <c r="L122" s="736"/>
      <c r="M122" s="736"/>
      <c r="N122" s="736"/>
      <c r="O122" s="736"/>
      <c r="P122" s="736"/>
      <c r="Q122" s="736"/>
      <c r="R122" s="736"/>
      <c r="S122" s="736"/>
      <c r="T122" s="737"/>
    </row>
    <row r="123" spans="2:20" x14ac:dyDescent="0.25">
      <c r="B123" s="735"/>
      <c r="C123" s="736"/>
      <c r="D123" s="736"/>
      <c r="E123" s="736"/>
      <c r="F123" s="736"/>
      <c r="G123" s="736"/>
      <c r="H123" s="736"/>
      <c r="I123" s="736"/>
      <c r="J123" s="736"/>
      <c r="K123" s="736"/>
      <c r="L123" s="736"/>
      <c r="M123" s="736"/>
      <c r="N123" s="736"/>
      <c r="O123" s="736"/>
      <c r="P123" s="736"/>
      <c r="Q123" s="736"/>
      <c r="R123" s="736"/>
      <c r="S123" s="736"/>
      <c r="T123" s="737"/>
    </row>
    <row r="124" spans="2:20" ht="15.75" thickBot="1" x14ac:dyDescent="0.3">
      <c r="B124" s="675"/>
      <c r="C124" s="676"/>
      <c r="D124" s="676"/>
      <c r="E124" s="676"/>
      <c r="F124" s="676"/>
      <c r="G124" s="676"/>
      <c r="H124" s="676"/>
      <c r="I124" s="676"/>
      <c r="J124" s="676"/>
      <c r="K124" s="676"/>
      <c r="L124" s="676"/>
      <c r="M124" s="676"/>
      <c r="N124" s="676"/>
      <c r="O124" s="676"/>
      <c r="P124" s="676"/>
      <c r="Q124" s="676"/>
      <c r="R124" s="676"/>
      <c r="S124" s="676"/>
      <c r="T124" s="738"/>
    </row>
  </sheetData>
  <sheetProtection algorithmName="SHA-512" hashValue="dQt8EnVP4M5+9kWpHEs7kTINEcf7q/kKWVTl4SLq6T9cuEnCKYVd0ufam3hvvrRM8BlznS+C9WsyLAZX6tR2ZQ==" saltValue="tTeXtNpjifptyIGoEtarVg==" spinCount="100000" sheet="1" objects="1" scenarios="1" selectLockedCells="1"/>
  <mergeCells count="79">
    <mergeCell ref="I41:R41"/>
    <mergeCell ref="I51:R51"/>
    <mergeCell ref="I61:R61"/>
    <mergeCell ref="I71:R71"/>
    <mergeCell ref="I57:O57"/>
    <mergeCell ref="I67:O67"/>
    <mergeCell ref="K55:L55"/>
    <mergeCell ref="Q55:R55"/>
    <mergeCell ref="K45:L45"/>
    <mergeCell ref="Q45:R45"/>
    <mergeCell ref="K46:L46"/>
    <mergeCell ref="Q46:R46"/>
    <mergeCell ref="I47:O47"/>
    <mergeCell ref="B99:T111"/>
    <mergeCell ref="B112:T124"/>
    <mergeCell ref="K76:L76"/>
    <mergeCell ref="Q76:R76"/>
    <mergeCell ref="Q79:R79"/>
    <mergeCell ref="B84:T98"/>
    <mergeCell ref="I77:O77"/>
    <mergeCell ref="I81:R81"/>
    <mergeCell ref="K73:L73"/>
    <mergeCell ref="Q73:R73"/>
    <mergeCell ref="K74:L74"/>
    <mergeCell ref="Q74:R74"/>
    <mergeCell ref="K75:L75"/>
    <mergeCell ref="Q75:R75"/>
    <mergeCell ref="G9:L9"/>
    <mergeCell ref="D11:E11"/>
    <mergeCell ref="G11:L11"/>
    <mergeCell ref="B7:L7"/>
    <mergeCell ref="F6:M6"/>
    <mergeCell ref="D9:E9"/>
    <mergeCell ref="Q33:R33"/>
    <mergeCell ref="B32:E32"/>
    <mergeCell ref="D13:E13"/>
    <mergeCell ref="D15:E15"/>
    <mergeCell ref="G15:L15"/>
    <mergeCell ref="D17:E17"/>
    <mergeCell ref="G17:L17"/>
    <mergeCell ref="D19:E19"/>
    <mergeCell ref="G19:J19"/>
    <mergeCell ref="B21:D21"/>
    <mergeCell ref="E21:F21"/>
    <mergeCell ref="G23:J23"/>
    <mergeCell ref="K33:L33"/>
    <mergeCell ref="F32:N32"/>
    <mergeCell ref="K34:L34"/>
    <mergeCell ref="Q34:R34"/>
    <mergeCell ref="K35:L35"/>
    <mergeCell ref="Q35:R35"/>
    <mergeCell ref="K53:L53"/>
    <mergeCell ref="Q53:R53"/>
    <mergeCell ref="K36:L36"/>
    <mergeCell ref="Q36:R36"/>
    <mergeCell ref="Q39:R39"/>
    <mergeCell ref="K43:L43"/>
    <mergeCell ref="Q49:R49"/>
    <mergeCell ref="I37:O37"/>
    <mergeCell ref="Q43:R43"/>
    <mergeCell ref="I40:L40"/>
    <mergeCell ref="K44:L44"/>
    <mergeCell ref="Q44:R44"/>
    <mergeCell ref="F5:L5"/>
    <mergeCell ref="B82:T83"/>
    <mergeCell ref="K66:L66"/>
    <mergeCell ref="Q66:R66"/>
    <mergeCell ref="Q69:R69"/>
    <mergeCell ref="Q59:R59"/>
    <mergeCell ref="K63:L63"/>
    <mergeCell ref="Q63:R63"/>
    <mergeCell ref="K64:L64"/>
    <mergeCell ref="Q64:R64"/>
    <mergeCell ref="K65:L65"/>
    <mergeCell ref="Q65:R65"/>
    <mergeCell ref="K56:L56"/>
    <mergeCell ref="Q56:R56"/>
    <mergeCell ref="K54:L54"/>
    <mergeCell ref="Q54:R54"/>
  </mergeCells>
  <conditionalFormatting sqref="K36">
    <cfRule type="expression" dxfId="19" priority="40">
      <formula>V36=2</formula>
    </cfRule>
  </conditionalFormatting>
  <conditionalFormatting sqref="K46">
    <cfRule type="expression" dxfId="18" priority="39">
      <formula>V46=2</formula>
    </cfRule>
  </conditionalFormatting>
  <conditionalFormatting sqref="K56">
    <cfRule type="expression" dxfId="17" priority="38">
      <formula>V56=2</formula>
    </cfRule>
  </conditionalFormatting>
  <conditionalFormatting sqref="K66">
    <cfRule type="expression" dxfId="16" priority="37">
      <formula>V66=2</formula>
    </cfRule>
  </conditionalFormatting>
  <conditionalFormatting sqref="K35:L35">
    <cfRule type="expression" dxfId="15" priority="36">
      <formula>V35=2</formula>
    </cfRule>
  </conditionalFormatting>
  <conditionalFormatting sqref="K34:L34">
    <cfRule type="expression" dxfId="14" priority="35">
      <formula>V34=2</formula>
    </cfRule>
  </conditionalFormatting>
  <conditionalFormatting sqref="K44:L44">
    <cfRule type="expression" dxfId="13" priority="34">
      <formula>V44=2</formula>
    </cfRule>
  </conditionalFormatting>
  <conditionalFormatting sqref="K54:L54">
    <cfRule type="expression" dxfId="12" priority="32">
      <formula>V54=2</formula>
    </cfRule>
  </conditionalFormatting>
  <conditionalFormatting sqref="K55:L55">
    <cfRule type="expression" dxfId="11" priority="31">
      <formula>V55=2</formula>
    </cfRule>
  </conditionalFormatting>
  <conditionalFormatting sqref="K64:L64">
    <cfRule type="expression" dxfId="10" priority="30">
      <formula>V64=2</formula>
    </cfRule>
  </conditionalFormatting>
  <conditionalFormatting sqref="K65:L65">
    <cfRule type="expression" dxfId="9" priority="29">
      <formula>V65=2</formula>
    </cfRule>
  </conditionalFormatting>
  <conditionalFormatting sqref="K45">
    <cfRule type="expression" dxfId="8" priority="10">
      <formula>V45=2</formula>
    </cfRule>
  </conditionalFormatting>
  <conditionalFormatting sqref="K75:L75">
    <cfRule type="expression" dxfId="7" priority="6">
      <formula>V75=2</formula>
    </cfRule>
  </conditionalFormatting>
  <conditionalFormatting sqref="K76">
    <cfRule type="expression" dxfId="6" priority="8">
      <formula>V76=2</formula>
    </cfRule>
  </conditionalFormatting>
  <conditionalFormatting sqref="K74:L74">
    <cfRule type="expression" dxfId="5" priority="7">
      <formula>V74=2</formula>
    </cfRule>
  </conditionalFormatting>
  <conditionalFormatting sqref="I38">
    <cfRule type="expression" dxfId="4" priority="5">
      <formula>$E$28="N"</formula>
    </cfRule>
  </conditionalFormatting>
  <conditionalFormatting sqref="I48">
    <cfRule type="expression" dxfId="3" priority="4">
      <formula>$E$28="N"</formula>
    </cfRule>
  </conditionalFormatting>
  <conditionalFormatting sqref="I58">
    <cfRule type="expression" dxfId="2" priority="3">
      <formula>$E$28="N"</formula>
    </cfRule>
  </conditionalFormatting>
  <conditionalFormatting sqref="I68">
    <cfRule type="expression" dxfId="1" priority="2">
      <formula>$E$28="N"</formula>
    </cfRule>
  </conditionalFormatting>
  <conditionalFormatting sqref="I78">
    <cfRule type="expression" dxfId="0" priority="1">
      <formula>$E$28="N"</formula>
    </cfRule>
  </conditionalFormatting>
  <dataValidations count="3">
    <dataValidation operator="lessThan" allowBlank="1" showInputMessage="1" showErrorMessage="1" sqref="Q54:R57 Q44:R47 Q34:R37 Q64:R67 Q74:R77"/>
    <dataValidation type="whole" allowBlank="1" showInputMessage="1" showErrorMessage="1" sqref="G27">
      <formula1>1</formula1>
      <formula2>100</formula2>
    </dataValidation>
    <dataValidation type="list" showInputMessage="1" showErrorMessage="1" error="If your actual location is not on this list, please choose the closest location from the list." sqref="G23:J23">
      <formula1>WSF_Stations</formula1>
    </dataValidation>
  </dataValidations>
  <pageMargins left="1" right="1" top="0.5" bottom="0" header="0.3" footer="0.3"/>
  <pageSetup scale="49" fitToHeight="0" orientation="landscape" r:id="rId1"/>
  <headerFooter>
    <oddFooter>&amp;CASHRAE 62.2 2016 Calculator</oddFooter>
  </headerFooter>
  <rowBreaks count="1" manualBreakCount="1">
    <brk id="6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9</xdr:col>
                    <xdr:colOff>990600</xdr:colOff>
                    <xdr:row>33</xdr:row>
                    <xdr:rowOff>19050</xdr:rowOff>
                  </from>
                  <to>
                    <xdr:col>9</xdr:col>
                    <xdr:colOff>1219200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9</xdr:col>
                    <xdr:colOff>1352550</xdr:colOff>
                    <xdr:row>33</xdr:row>
                    <xdr:rowOff>19050</xdr:rowOff>
                  </from>
                  <to>
                    <xdr:col>9</xdr:col>
                    <xdr:colOff>1571625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Group Box 3">
              <controlPr defaultSize="0" autoFill="0" autoPict="0">
                <anchor moveWithCells="1">
                  <from>
                    <xdr:col>9</xdr:col>
                    <xdr:colOff>942975</xdr:colOff>
                    <xdr:row>33</xdr:row>
                    <xdr:rowOff>0</xdr:rowOff>
                  </from>
                  <to>
                    <xdr:col>9</xdr:col>
                    <xdr:colOff>1600200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defaultSize="0" autoFill="0" autoLine="0" autoPict="0">
                <anchor moveWithCells="1">
                  <from>
                    <xdr:col>15</xdr:col>
                    <xdr:colOff>190500</xdr:colOff>
                    <xdr:row>33</xdr:row>
                    <xdr:rowOff>19050</xdr:rowOff>
                  </from>
                  <to>
                    <xdr:col>15</xdr:col>
                    <xdr:colOff>419100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15</xdr:col>
                    <xdr:colOff>552450</xdr:colOff>
                    <xdr:row>33</xdr:row>
                    <xdr:rowOff>19050</xdr:rowOff>
                  </from>
                  <to>
                    <xdr:col>15</xdr:col>
                    <xdr:colOff>790575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Group Box 6">
              <controlPr defaultSize="0" autoFill="0" autoPict="0">
                <anchor moveWithCells="1">
                  <from>
                    <xdr:col>15</xdr:col>
                    <xdr:colOff>171450</xdr:colOff>
                    <xdr:row>33</xdr:row>
                    <xdr:rowOff>0</xdr:rowOff>
                  </from>
                  <to>
                    <xdr:col>15</xdr:col>
                    <xdr:colOff>819150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Option Button 7">
              <controlPr defaultSize="0" autoFill="0" autoLine="0" autoPict="0">
                <anchor moveWithCells="1">
                  <from>
                    <xdr:col>9</xdr:col>
                    <xdr:colOff>990600</xdr:colOff>
                    <xdr:row>34</xdr:row>
                    <xdr:rowOff>28575</xdr:rowOff>
                  </from>
                  <to>
                    <xdr:col>9</xdr:col>
                    <xdr:colOff>1238250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Option Button 8">
              <controlPr defaultSize="0" autoFill="0" autoLine="0" autoPict="0">
                <anchor moveWithCells="1">
                  <from>
                    <xdr:col>9</xdr:col>
                    <xdr:colOff>1343025</xdr:colOff>
                    <xdr:row>34</xdr:row>
                    <xdr:rowOff>28575</xdr:rowOff>
                  </from>
                  <to>
                    <xdr:col>9</xdr:col>
                    <xdr:colOff>1581150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Option Button 11">
              <controlPr defaultSize="0" autoFill="0" autoLine="0" autoPict="0">
                <anchor moveWithCells="1">
                  <from>
                    <xdr:col>9</xdr:col>
                    <xdr:colOff>990600</xdr:colOff>
                    <xdr:row>35</xdr:row>
                    <xdr:rowOff>57150</xdr:rowOff>
                  </from>
                  <to>
                    <xdr:col>9</xdr:col>
                    <xdr:colOff>1238250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Option Button 12">
              <controlPr defaultSize="0" autoFill="0" autoLine="0" autoPict="0">
                <anchor moveWithCells="1">
                  <from>
                    <xdr:col>9</xdr:col>
                    <xdr:colOff>1323975</xdr:colOff>
                    <xdr:row>35</xdr:row>
                    <xdr:rowOff>57150</xdr:rowOff>
                  </from>
                  <to>
                    <xdr:col>9</xdr:col>
                    <xdr:colOff>1562100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Group Box 13">
              <controlPr defaultSize="0" autoFill="0" autoPict="0">
                <anchor moveWithCells="1">
                  <from>
                    <xdr:col>9</xdr:col>
                    <xdr:colOff>962025</xdr:colOff>
                    <xdr:row>35</xdr:row>
                    <xdr:rowOff>19050</xdr:rowOff>
                  </from>
                  <to>
                    <xdr:col>9</xdr:col>
                    <xdr:colOff>1590675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5" name="Option Button 15">
              <controlPr defaultSize="0" autoFill="0" autoLine="0" autoPict="0">
                <anchor moveWithCells="1">
                  <from>
                    <xdr:col>15</xdr:col>
                    <xdr:colOff>200025</xdr:colOff>
                    <xdr:row>34</xdr:row>
                    <xdr:rowOff>28575</xdr:rowOff>
                  </from>
                  <to>
                    <xdr:col>15</xdr:col>
                    <xdr:colOff>409575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6" name="Option Button 16">
              <controlPr defaultSize="0" autoFill="0" autoLine="0" autoPict="0">
                <anchor moveWithCells="1">
                  <from>
                    <xdr:col>15</xdr:col>
                    <xdr:colOff>561975</xdr:colOff>
                    <xdr:row>34</xdr:row>
                    <xdr:rowOff>28575</xdr:rowOff>
                  </from>
                  <to>
                    <xdr:col>15</xdr:col>
                    <xdr:colOff>781050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Group Box 17">
              <controlPr defaultSize="0" autoFill="0" autoPict="0">
                <anchor moveWithCells="1">
                  <from>
                    <xdr:col>15</xdr:col>
                    <xdr:colOff>171450</xdr:colOff>
                    <xdr:row>34</xdr:row>
                    <xdr:rowOff>19050</xdr:rowOff>
                  </from>
                  <to>
                    <xdr:col>15</xdr:col>
                    <xdr:colOff>809625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Option Button 18">
              <controlPr defaultSize="0" autoFill="0" autoLine="0" autoPict="0">
                <anchor moveWithCells="1">
                  <from>
                    <xdr:col>9</xdr:col>
                    <xdr:colOff>981075</xdr:colOff>
                    <xdr:row>42</xdr:row>
                    <xdr:rowOff>238125</xdr:rowOff>
                  </from>
                  <to>
                    <xdr:col>9</xdr:col>
                    <xdr:colOff>1228725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Option Button 19">
              <controlPr defaultSize="0" autoFill="0" autoLine="0" autoPict="0">
                <anchor moveWithCells="1">
                  <from>
                    <xdr:col>9</xdr:col>
                    <xdr:colOff>1314450</xdr:colOff>
                    <xdr:row>42</xdr:row>
                    <xdr:rowOff>238125</xdr:rowOff>
                  </from>
                  <to>
                    <xdr:col>9</xdr:col>
                    <xdr:colOff>1552575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Option Button 20">
              <controlPr defaultSize="0" autoFill="0" autoLine="0" autoPict="0">
                <anchor moveWithCells="1">
                  <from>
                    <xdr:col>9</xdr:col>
                    <xdr:colOff>971550</xdr:colOff>
                    <xdr:row>43</xdr:row>
                    <xdr:rowOff>228600</xdr:rowOff>
                  </from>
                  <to>
                    <xdr:col>9</xdr:col>
                    <xdr:colOff>1219200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Option Button 21">
              <controlPr defaultSize="0" autoFill="0" autoLine="0" autoPict="0">
                <anchor moveWithCells="1">
                  <from>
                    <xdr:col>9</xdr:col>
                    <xdr:colOff>1304925</xdr:colOff>
                    <xdr:row>43</xdr:row>
                    <xdr:rowOff>228600</xdr:rowOff>
                  </from>
                  <to>
                    <xdr:col>9</xdr:col>
                    <xdr:colOff>1543050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2" name="Option Button 24">
              <controlPr defaultSize="0" autoFill="0" autoLine="0" autoPict="0">
                <anchor moveWithCells="1">
                  <from>
                    <xdr:col>15</xdr:col>
                    <xdr:colOff>171450</xdr:colOff>
                    <xdr:row>43</xdr:row>
                    <xdr:rowOff>19050</xdr:rowOff>
                  </from>
                  <to>
                    <xdr:col>15</xdr:col>
                    <xdr:colOff>409575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3" name="Option Button 25">
              <controlPr defaultSize="0" autoFill="0" autoLine="0" autoPict="0">
                <anchor moveWithCells="1">
                  <from>
                    <xdr:col>15</xdr:col>
                    <xdr:colOff>504825</xdr:colOff>
                    <xdr:row>43</xdr:row>
                    <xdr:rowOff>19050</xdr:rowOff>
                  </from>
                  <to>
                    <xdr:col>15</xdr:col>
                    <xdr:colOff>733425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4" name="Option Button 26">
              <controlPr defaultSize="0" autoFill="0" autoLine="0" autoPict="0">
                <anchor moveWithCells="1">
                  <from>
                    <xdr:col>15</xdr:col>
                    <xdr:colOff>161925</xdr:colOff>
                    <xdr:row>44</xdr:row>
                    <xdr:rowOff>0</xdr:rowOff>
                  </from>
                  <to>
                    <xdr:col>15</xdr:col>
                    <xdr:colOff>400050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5" name="Option Button 27">
              <controlPr defaultSize="0" autoFill="0" autoLine="0" autoPict="0">
                <anchor moveWithCells="1">
                  <from>
                    <xdr:col>15</xdr:col>
                    <xdr:colOff>514350</xdr:colOff>
                    <xdr:row>44</xdr:row>
                    <xdr:rowOff>9525</xdr:rowOff>
                  </from>
                  <to>
                    <xdr:col>15</xdr:col>
                    <xdr:colOff>742950</xdr:colOff>
                    <xdr:row>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6" name="Option Button 28">
              <controlPr defaultSize="0" autoFill="0" autoLine="0" autoPict="0">
                <anchor moveWithCells="1">
                  <from>
                    <xdr:col>9</xdr:col>
                    <xdr:colOff>990600</xdr:colOff>
                    <xdr:row>52</xdr:row>
                    <xdr:rowOff>238125</xdr:rowOff>
                  </from>
                  <to>
                    <xdr:col>9</xdr:col>
                    <xdr:colOff>1238250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7" name="Option Button 29">
              <controlPr defaultSize="0" autoFill="0" autoLine="0" autoPict="0">
                <anchor moveWithCells="1">
                  <from>
                    <xdr:col>9</xdr:col>
                    <xdr:colOff>1323975</xdr:colOff>
                    <xdr:row>52</xdr:row>
                    <xdr:rowOff>238125</xdr:rowOff>
                  </from>
                  <to>
                    <xdr:col>9</xdr:col>
                    <xdr:colOff>1552575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8" name="Option Button 30">
              <controlPr defaultSize="0" autoFill="0" autoLine="0" autoPict="0">
                <anchor moveWithCells="1">
                  <from>
                    <xdr:col>9</xdr:col>
                    <xdr:colOff>981075</xdr:colOff>
                    <xdr:row>53</xdr:row>
                    <xdr:rowOff>238125</xdr:rowOff>
                  </from>
                  <to>
                    <xdr:col>9</xdr:col>
                    <xdr:colOff>1228725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9" name="Option Button 31">
              <controlPr defaultSize="0" autoFill="0" autoLine="0" autoPict="0">
                <anchor moveWithCells="1">
                  <from>
                    <xdr:col>9</xdr:col>
                    <xdr:colOff>1314450</xdr:colOff>
                    <xdr:row>53</xdr:row>
                    <xdr:rowOff>238125</xdr:rowOff>
                  </from>
                  <to>
                    <xdr:col>9</xdr:col>
                    <xdr:colOff>1543050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0" name="Option Button 32">
              <controlPr defaultSize="0" autoFill="0" autoLine="0" autoPict="0">
                <anchor moveWithCells="1">
                  <from>
                    <xdr:col>9</xdr:col>
                    <xdr:colOff>981075</xdr:colOff>
                    <xdr:row>55</xdr:row>
                    <xdr:rowOff>19050</xdr:rowOff>
                  </from>
                  <to>
                    <xdr:col>9</xdr:col>
                    <xdr:colOff>1228725</xdr:colOff>
                    <xdr:row>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1" name="Option Button 33">
              <controlPr defaultSize="0" autoFill="0" autoLine="0" autoPict="0">
                <anchor moveWithCells="1">
                  <from>
                    <xdr:col>9</xdr:col>
                    <xdr:colOff>1314450</xdr:colOff>
                    <xdr:row>55</xdr:row>
                    <xdr:rowOff>19050</xdr:rowOff>
                  </from>
                  <to>
                    <xdr:col>9</xdr:col>
                    <xdr:colOff>1543050</xdr:colOff>
                    <xdr:row>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2" name="Option Button 34">
              <controlPr defaultSize="0" autoFill="0" autoLine="0" autoPict="0">
                <anchor moveWithCells="1">
                  <from>
                    <xdr:col>15</xdr:col>
                    <xdr:colOff>200025</xdr:colOff>
                    <xdr:row>52</xdr:row>
                    <xdr:rowOff>238125</xdr:rowOff>
                  </from>
                  <to>
                    <xdr:col>15</xdr:col>
                    <xdr:colOff>438150</xdr:colOff>
                    <xdr:row>53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3" name="Option Button 35">
              <controlPr defaultSize="0" autoFill="0" autoLine="0" autoPict="0">
                <anchor moveWithCells="1">
                  <from>
                    <xdr:col>15</xdr:col>
                    <xdr:colOff>552450</xdr:colOff>
                    <xdr:row>52</xdr:row>
                    <xdr:rowOff>228600</xdr:rowOff>
                  </from>
                  <to>
                    <xdr:col>15</xdr:col>
                    <xdr:colOff>781050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4" name="Option Button 36">
              <controlPr defaultSize="0" autoFill="0" autoLine="0" autoPict="0">
                <anchor moveWithCells="1">
                  <from>
                    <xdr:col>15</xdr:col>
                    <xdr:colOff>219075</xdr:colOff>
                    <xdr:row>53</xdr:row>
                    <xdr:rowOff>238125</xdr:rowOff>
                  </from>
                  <to>
                    <xdr:col>15</xdr:col>
                    <xdr:colOff>476250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5" name="Option Button 37">
              <controlPr defaultSize="0" autoFill="0" autoLine="0" autoPict="0">
                <anchor moveWithCells="1">
                  <from>
                    <xdr:col>15</xdr:col>
                    <xdr:colOff>552450</xdr:colOff>
                    <xdr:row>53</xdr:row>
                    <xdr:rowOff>238125</xdr:rowOff>
                  </from>
                  <to>
                    <xdr:col>15</xdr:col>
                    <xdr:colOff>781050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6" name="Option Button 42">
              <controlPr defaultSize="0" autoFill="0" autoLine="0" autoPict="0">
                <anchor moveWithCells="1">
                  <from>
                    <xdr:col>9</xdr:col>
                    <xdr:colOff>971550</xdr:colOff>
                    <xdr:row>64</xdr:row>
                    <xdr:rowOff>209550</xdr:rowOff>
                  </from>
                  <to>
                    <xdr:col>9</xdr:col>
                    <xdr:colOff>1228725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7" name="Option Button 43">
              <controlPr defaultSize="0" autoFill="0" autoLine="0" autoPict="0">
                <anchor moveWithCells="1">
                  <from>
                    <xdr:col>9</xdr:col>
                    <xdr:colOff>1304925</xdr:colOff>
                    <xdr:row>64</xdr:row>
                    <xdr:rowOff>209550</xdr:rowOff>
                  </from>
                  <to>
                    <xdr:col>9</xdr:col>
                    <xdr:colOff>1533525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8" name="Group Box 48">
              <controlPr defaultSize="0" autoFill="0" autoPict="0">
                <anchor moveWithCells="1">
                  <from>
                    <xdr:col>9</xdr:col>
                    <xdr:colOff>933450</xdr:colOff>
                    <xdr:row>42</xdr:row>
                    <xdr:rowOff>219075</xdr:rowOff>
                  </from>
                  <to>
                    <xdr:col>9</xdr:col>
                    <xdr:colOff>1571625</xdr:colOff>
                    <xdr:row>43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9" name="Group Box 49">
              <controlPr defaultSize="0" autoFill="0" autoPict="0">
                <anchor moveWithCells="1">
                  <from>
                    <xdr:col>9</xdr:col>
                    <xdr:colOff>942975</xdr:colOff>
                    <xdr:row>43</xdr:row>
                    <xdr:rowOff>219075</xdr:rowOff>
                  </from>
                  <to>
                    <xdr:col>9</xdr:col>
                    <xdr:colOff>1581150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0" name="Group Box 51">
              <controlPr defaultSize="0" autoFill="0" autoPict="0">
                <anchor moveWithCells="1">
                  <from>
                    <xdr:col>15</xdr:col>
                    <xdr:colOff>133350</xdr:colOff>
                    <xdr:row>42</xdr:row>
                    <xdr:rowOff>238125</xdr:rowOff>
                  </from>
                  <to>
                    <xdr:col>15</xdr:col>
                    <xdr:colOff>771525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41" name="Group Box 52">
              <controlPr defaultSize="0" autoFill="0" autoPict="0">
                <anchor moveWithCells="1">
                  <from>
                    <xdr:col>15</xdr:col>
                    <xdr:colOff>133350</xdr:colOff>
                    <xdr:row>44</xdr:row>
                    <xdr:rowOff>0</xdr:rowOff>
                  </from>
                  <to>
                    <xdr:col>15</xdr:col>
                    <xdr:colOff>771525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2" name="Group Box 56">
              <controlPr defaultSize="0" autoFill="0" autoPict="0">
                <anchor moveWithCells="1">
                  <from>
                    <xdr:col>9</xdr:col>
                    <xdr:colOff>952500</xdr:colOff>
                    <xdr:row>52</xdr:row>
                    <xdr:rowOff>209550</xdr:rowOff>
                  </from>
                  <to>
                    <xdr:col>9</xdr:col>
                    <xdr:colOff>1590675</xdr:colOff>
                    <xdr:row>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3" name="Option Button 57">
              <controlPr defaultSize="0" autoFill="0" autoLine="0" autoPict="0">
                <anchor moveWithCells="1">
                  <from>
                    <xdr:col>9</xdr:col>
                    <xdr:colOff>971550</xdr:colOff>
                    <xdr:row>45</xdr:row>
                    <xdr:rowOff>9525</xdr:rowOff>
                  </from>
                  <to>
                    <xdr:col>9</xdr:col>
                    <xdr:colOff>1219200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4" name="Option Button 58">
              <controlPr defaultSize="0" autoFill="0" autoLine="0" autoPict="0">
                <anchor moveWithCells="1">
                  <from>
                    <xdr:col>9</xdr:col>
                    <xdr:colOff>1304925</xdr:colOff>
                    <xdr:row>45</xdr:row>
                    <xdr:rowOff>9525</xdr:rowOff>
                  </from>
                  <to>
                    <xdr:col>9</xdr:col>
                    <xdr:colOff>1533525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45" name="Group Box 59">
              <controlPr defaultSize="0" autoFill="0" autoPict="0">
                <anchor moveWithCells="1">
                  <from>
                    <xdr:col>9</xdr:col>
                    <xdr:colOff>933450</xdr:colOff>
                    <xdr:row>45</xdr:row>
                    <xdr:rowOff>0</xdr:rowOff>
                  </from>
                  <to>
                    <xdr:col>9</xdr:col>
                    <xdr:colOff>1571625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46" name="Group Box 60">
              <controlPr defaultSize="0" autoFill="0" autoPict="0">
                <anchor moveWithCells="1">
                  <from>
                    <xdr:col>15</xdr:col>
                    <xdr:colOff>171450</xdr:colOff>
                    <xdr:row>52</xdr:row>
                    <xdr:rowOff>209550</xdr:rowOff>
                  </from>
                  <to>
                    <xdr:col>15</xdr:col>
                    <xdr:colOff>800100</xdr:colOff>
                    <xdr:row>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47" name="Group Box 61">
              <controlPr defaultSize="0" autoFill="0" autoPict="0">
                <anchor moveWithCells="1">
                  <from>
                    <xdr:col>9</xdr:col>
                    <xdr:colOff>942975</xdr:colOff>
                    <xdr:row>53</xdr:row>
                    <xdr:rowOff>228600</xdr:rowOff>
                  </from>
                  <to>
                    <xdr:col>9</xdr:col>
                    <xdr:colOff>1581150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8" name="Group Box 62">
              <controlPr defaultSize="0" autoFill="0" autoPict="0">
                <anchor moveWithCells="1">
                  <from>
                    <xdr:col>9</xdr:col>
                    <xdr:colOff>942975</xdr:colOff>
                    <xdr:row>54</xdr:row>
                    <xdr:rowOff>238125</xdr:rowOff>
                  </from>
                  <to>
                    <xdr:col>9</xdr:col>
                    <xdr:colOff>1581150</xdr:colOff>
                    <xdr:row>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9" name="Group Box 63">
              <controlPr defaultSize="0" autoFill="0" autoPict="0">
                <anchor moveWithCells="1">
                  <from>
                    <xdr:col>15</xdr:col>
                    <xdr:colOff>171450</xdr:colOff>
                    <xdr:row>53</xdr:row>
                    <xdr:rowOff>228600</xdr:rowOff>
                  </from>
                  <to>
                    <xdr:col>15</xdr:col>
                    <xdr:colOff>800100</xdr:colOff>
                    <xdr:row>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50" name="Option Button 64">
              <controlPr defaultSize="0" autoFill="0" autoLine="0" autoPict="0">
                <anchor moveWithCells="1">
                  <from>
                    <xdr:col>15</xdr:col>
                    <xdr:colOff>219075</xdr:colOff>
                    <xdr:row>55</xdr:row>
                    <xdr:rowOff>57150</xdr:rowOff>
                  </from>
                  <to>
                    <xdr:col>15</xdr:col>
                    <xdr:colOff>476250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51" name="Option Button 65">
              <controlPr defaultSize="0" autoFill="0" autoLine="0" autoPict="0">
                <anchor moveWithCells="1">
                  <from>
                    <xdr:col>15</xdr:col>
                    <xdr:colOff>552450</xdr:colOff>
                    <xdr:row>55</xdr:row>
                    <xdr:rowOff>57150</xdr:rowOff>
                  </from>
                  <to>
                    <xdr:col>15</xdr:col>
                    <xdr:colOff>781050</xdr:colOff>
                    <xdr:row>55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52" name="Group Box 68">
              <controlPr defaultSize="0" autoFill="0" autoPict="0">
                <anchor moveWithCells="1">
                  <from>
                    <xdr:col>15</xdr:col>
                    <xdr:colOff>180975</xdr:colOff>
                    <xdr:row>55</xdr:row>
                    <xdr:rowOff>19050</xdr:rowOff>
                  </from>
                  <to>
                    <xdr:col>15</xdr:col>
                    <xdr:colOff>790575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53" name="Group Box 75">
              <controlPr defaultSize="0" autoFill="0" autoPict="0">
                <anchor moveWithCells="1">
                  <from>
                    <xdr:col>9</xdr:col>
                    <xdr:colOff>942975</xdr:colOff>
                    <xdr:row>64</xdr:row>
                    <xdr:rowOff>180975</xdr:rowOff>
                  </from>
                  <to>
                    <xdr:col>9</xdr:col>
                    <xdr:colOff>1581150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54" name="Option Button 79">
              <controlPr defaultSize="0" autoFill="0" autoLine="0" autoPict="0">
                <anchor moveWithCells="1">
                  <from>
                    <xdr:col>15</xdr:col>
                    <xdr:colOff>171450</xdr:colOff>
                    <xdr:row>45</xdr:row>
                    <xdr:rowOff>9525</xdr:rowOff>
                  </from>
                  <to>
                    <xdr:col>15</xdr:col>
                    <xdr:colOff>428625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55" name="Option Button 80">
              <controlPr defaultSize="0" autoFill="0" autoLine="0" autoPict="0">
                <anchor moveWithCells="1">
                  <from>
                    <xdr:col>15</xdr:col>
                    <xdr:colOff>514350</xdr:colOff>
                    <xdr:row>45</xdr:row>
                    <xdr:rowOff>9525</xdr:rowOff>
                  </from>
                  <to>
                    <xdr:col>15</xdr:col>
                    <xdr:colOff>742950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56" name="Group Box 81">
              <controlPr defaultSize="0" autoFill="0" autoPict="0">
                <anchor moveWithCells="1">
                  <from>
                    <xdr:col>15</xdr:col>
                    <xdr:colOff>133350</xdr:colOff>
                    <xdr:row>45</xdr:row>
                    <xdr:rowOff>0</xdr:rowOff>
                  </from>
                  <to>
                    <xdr:col>15</xdr:col>
                    <xdr:colOff>771525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57" name="Option Button 82">
              <controlPr defaultSize="0" autoFill="0" autoLine="0" autoPict="0">
                <anchor moveWithCells="1">
                  <from>
                    <xdr:col>15</xdr:col>
                    <xdr:colOff>209550</xdr:colOff>
                    <xdr:row>35</xdr:row>
                    <xdr:rowOff>38100</xdr:rowOff>
                  </from>
                  <to>
                    <xdr:col>15</xdr:col>
                    <xdr:colOff>438150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58" name="Option Button 83">
              <controlPr defaultSize="0" autoFill="0" autoLine="0" autoPict="0">
                <anchor moveWithCells="1">
                  <from>
                    <xdr:col>15</xdr:col>
                    <xdr:colOff>561975</xdr:colOff>
                    <xdr:row>35</xdr:row>
                    <xdr:rowOff>57150</xdr:rowOff>
                  </from>
                  <to>
                    <xdr:col>15</xdr:col>
                    <xdr:colOff>752475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59" name="Group Box 84">
              <controlPr defaultSize="0" autoFill="0" autoPict="0">
                <anchor moveWithCells="1">
                  <from>
                    <xdr:col>15</xdr:col>
                    <xdr:colOff>171450</xdr:colOff>
                    <xdr:row>35</xdr:row>
                    <xdr:rowOff>19050</xdr:rowOff>
                  </from>
                  <to>
                    <xdr:col>15</xdr:col>
                    <xdr:colOff>809625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60" name="Group Box 85">
              <controlPr defaultSize="0" autoFill="0" autoPict="0">
                <anchor moveWithCells="1">
                  <from>
                    <xdr:col>9</xdr:col>
                    <xdr:colOff>952500</xdr:colOff>
                    <xdr:row>34</xdr:row>
                    <xdr:rowOff>19050</xdr:rowOff>
                  </from>
                  <to>
                    <xdr:col>9</xdr:col>
                    <xdr:colOff>1609725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61" name="List Box 91">
              <controlPr locked="0" defaultSize="0" autoLine="0" autoPict="0" altText="Y/N">
                <anchor moveWithCells="1">
                  <from>
                    <xdr:col>3</xdr:col>
                    <xdr:colOff>895350</xdr:colOff>
                    <xdr:row>27</xdr:row>
                    <xdr:rowOff>0</xdr:rowOff>
                  </from>
                  <to>
                    <xdr:col>3</xdr:col>
                    <xdr:colOff>1524000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62" name="Option Button 92">
              <controlPr locked="0" defaultSize="0" autoFill="0" autoLine="0" autoPict="0">
                <anchor moveWithCells="1">
                  <from>
                    <xdr:col>9</xdr:col>
                    <xdr:colOff>971550</xdr:colOff>
                    <xdr:row>73</xdr:row>
                    <xdr:rowOff>9525</xdr:rowOff>
                  </from>
                  <to>
                    <xdr:col>9</xdr:col>
                    <xdr:colOff>1219200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63" name="Option Button 93">
              <controlPr defaultSize="0" autoFill="0" autoLine="0" autoPict="0">
                <anchor moveWithCells="1">
                  <from>
                    <xdr:col>9</xdr:col>
                    <xdr:colOff>1304925</xdr:colOff>
                    <xdr:row>73</xdr:row>
                    <xdr:rowOff>9525</xdr:rowOff>
                  </from>
                  <to>
                    <xdr:col>9</xdr:col>
                    <xdr:colOff>1533525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64" name="Option Button 94">
              <controlPr defaultSize="0" autoFill="0" autoLine="0" autoPict="0">
                <anchor moveWithCells="1">
                  <from>
                    <xdr:col>9</xdr:col>
                    <xdr:colOff>971550</xdr:colOff>
                    <xdr:row>74</xdr:row>
                    <xdr:rowOff>0</xdr:rowOff>
                  </from>
                  <to>
                    <xdr:col>9</xdr:col>
                    <xdr:colOff>1219200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65" name="Option Button 95">
              <controlPr defaultSize="0" autoFill="0" autoLine="0" autoPict="0">
                <anchor moveWithCells="1">
                  <from>
                    <xdr:col>9</xdr:col>
                    <xdr:colOff>1304925</xdr:colOff>
                    <xdr:row>74</xdr:row>
                    <xdr:rowOff>0</xdr:rowOff>
                  </from>
                  <to>
                    <xdr:col>9</xdr:col>
                    <xdr:colOff>1533525</xdr:colOff>
                    <xdr:row>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66" name="Option Button 96">
              <controlPr defaultSize="0" autoFill="0" autoLine="0" autoPict="0">
                <anchor moveWithCells="1">
                  <from>
                    <xdr:col>9</xdr:col>
                    <xdr:colOff>971550</xdr:colOff>
                    <xdr:row>75</xdr:row>
                    <xdr:rowOff>0</xdr:rowOff>
                  </from>
                  <to>
                    <xdr:col>9</xdr:col>
                    <xdr:colOff>1219200</xdr:colOff>
                    <xdr:row>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67" name="Option Button 97">
              <controlPr defaultSize="0" autoFill="0" autoLine="0" autoPict="0">
                <anchor moveWithCells="1">
                  <from>
                    <xdr:col>9</xdr:col>
                    <xdr:colOff>1304925</xdr:colOff>
                    <xdr:row>75</xdr:row>
                    <xdr:rowOff>0</xdr:rowOff>
                  </from>
                  <to>
                    <xdr:col>9</xdr:col>
                    <xdr:colOff>1533525</xdr:colOff>
                    <xdr:row>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68" name="Option Button 98">
              <controlPr defaultSize="0" autoFill="0" autoLine="0" autoPict="0">
                <anchor moveWithCells="1">
                  <from>
                    <xdr:col>15</xdr:col>
                    <xdr:colOff>200025</xdr:colOff>
                    <xdr:row>73</xdr:row>
                    <xdr:rowOff>0</xdr:rowOff>
                  </from>
                  <to>
                    <xdr:col>15</xdr:col>
                    <xdr:colOff>438150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69" name="Option Button 99">
              <controlPr defaultSize="0" autoFill="0" autoLine="0" autoPict="0">
                <anchor moveWithCells="1">
                  <from>
                    <xdr:col>15</xdr:col>
                    <xdr:colOff>523875</xdr:colOff>
                    <xdr:row>73</xdr:row>
                    <xdr:rowOff>0</xdr:rowOff>
                  </from>
                  <to>
                    <xdr:col>15</xdr:col>
                    <xdr:colOff>752475</xdr:colOff>
                    <xdr:row>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70" name="Option Button 100">
              <controlPr defaultSize="0" autoFill="0" autoLine="0" autoPict="0">
                <anchor moveWithCells="1">
                  <from>
                    <xdr:col>15</xdr:col>
                    <xdr:colOff>200025</xdr:colOff>
                    <xdr:row>74</xdr:row>
                    <xdr:rowOff>57150</xdr:rowOff>
                  </from>
                  <to>
                    <xdr:col>15</xdr:col>
                    <xdr:colOff>438150</xdr:colOff>
                    <xdr:row>74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71" name="Option Button 101">
              <controlPr defaultSize="0" autoFill="0" autoLine="0" autoPict="0">
                <anchor moveWithCells="1">
                  <from>
                    <xdr:col>15</xdr:col>
                    <xdr:colOff>523875</xdr:colOff>
                    <xdr:row>74</xdr:row>
                    <xdr:rowOff>47625</xdr:rowOff>
                  </from>
                  <to>
                    <xdr:col>15</xdr:col>
                    <xdr:colOff>752475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72" name="Group Box 102">
              <controlPr defaultSize="0" autoFill="0" autoPict="0">
                <anchor moveWithCells="1">
                  <from>
                    <xdr:col>9</xdr:col>
                    <xdr:colOff>933450</xdr:colOff>
                    <xdr:row>72</xdr:row>
                    <xdr:rowOff>180975</xdr:rowOff>
                  </from>
                  <to>
                    <xdr:col>9</xdr:col>
                    <xdr:colOff>1562100</xdr:colOff>
                    <xdr:row>73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73" name="Group Box 103">
              <controlPr defaultSize="0" autoFill="0" autoPict="0">
                <anchor moveWithCells="1">
                  <from>
                    <xdr:col>9</xdr:col>
                    <xdr:colOff>942975</xdr:colOff>
                    <xdr:row>73</xdr:row>
                    <xdr:rowOff>257175</xdr:rowOff>
                  </from>
                  <to>
                    <xdr:col>9</xdr:col>
                    <xdr:colOff>1571625</xdr:colOff>
                    <xdr:row>74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74" name="Group Box 104">
              <controlPr defaultSize="0" autoFill="0" autoPict="0">
                <anchor moveWithCells="1">
                  <from>
                    <xdr:col>15</xdr:col>
                    <xdr:colOff>161925</xdr:colOff>
                    <xdr:row>72</xdr:row>
                    <xdr:rowOff>180975</xdr:rowOff>
                  </from>
                  <to>
                    <xdr:col>15</xdr:col>
                    <xdr:colOff>781050</xdr:colOff>
                    <xdr:row>73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75" name="Group Box 105">
              <controlPr defaultSize="0" autoFill="0" autoPict="0">
                <anchor moveWithCells="1">
                  <from>
                    <xdr:col>15</xdr:col>
                    <xdr:colOff>161925</xdr:colOff>
                    <xdr:row>74</xdr:row>
                    <xdr:rowOff>19050</xdr:rowOff>
                  </from>
                  <to>
                    <xdr:col>15</xdr:col>
                    <xdr:colOff>781050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76" name="Group Box 106">
              <controlPr defaultSize="0" autoFill="0" autoPict="0">
                <anchor moveWithCells="1">
                  <from>
                    <xdr:col>9</xdr:col>
                    <xdr:colOff>942975</xdr:colOff>
                    <xdr:row>74</xdr:row>
                    <xdr:rowOff>247650</xdr:rowOff>
                  </from>
                  <to>
                    <xdr:col>9</xdr:col>
                    <xdr:colOff>1581150</xdr:colOff>
                    <xdr:row>75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77" name="Option Button 107">
              <controlPr defaultSize="0" autoFill="0" autoLine="0" autoPict="0">
                <anchor moveWithCells="1">
                  <from>
                    <xdr:col>15</xdr:col>
                    <xdr:colOff>200025</xdr:colOff>
                    <xdr:row>75</xdr:row>
                    <xdr:rowOff>66675</xdr:rowOff>
                  </from>
                  <to>
                    <xdr:col>15</xdr:col>
                    <xdr:colOff>438150</xdr:colOff>
                    <xdr:row>75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78" name="Option Button 108">
              <controlPr defaultSize="0" autoFill="0" autoLine="0" autoPict="0">
                <anchor moveWithCells="1">
                  <from>
                    <xdr:col>15</xdr:col>
                    <xdr:colOff>523875</xdr:colOff>
                    <xdr:row>75</xdr:row>
                    <xdr:rowOff>66675</xdr:rowOff>
                  </from>
                  <to>
                    <xdr:col>15</xdr:col>
                    <xdr:colOff>752475</xdr:colOff>
                    <xdr:row>75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79" name="Group Box 109">
              <controlPr defaultSize="0" autoFill="0" autoPict="0">
                <anchor moveWithCells="1">
                  <from>
                    <xdr:col>15</xdr:col>
                    <xdr:colOff>171450</xdr:colOff>
                    <xdr:row>75</xdr:row>
                    <xdr:rowOff>47625</xdr:rowOff>
                  </from>
                  <to>
                    <xdr:col>15</xdr:col>
                    <xdr:colOff>800100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80" name="Option Button 136">
              <controlPr defaultSize="0" autoFill="0" autoLine="0" autoPict="0">
                <anchor moveWithCells="1">
                  <from>
                    <xdr:col>15</xdr:col>
                    <xdr:colOff>219075</xdr:colOff>
                    <xdr:row>64</xdr:row>
                    <xdr:rowOff>57150</xdr:rowOff>
                  </from>
                  <to>
                    <xdr:col>15</xdr:col>
                    <xdr:colOff>476250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81" name="Option Button 137">
              <controlPr defaultSize="0" autoFill="0" autoLine="0" autoPict="0">
                <anchor moveWithCells="1">
                  <from>
                    <xdr:col>15</xdr:col>
                    <xdr:colOff>552450</xdr:colOff>
                    <xdr:row>64</xdr:row>
                    <xdr:rowOff>57150</xdr:rowOff>
                  </from>
                  <to>
                    <xdr:col>15</xdr:col>
                    <xdr:colOff>771525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82" name="Group Box 138">
              <controlPr defaultSize="0" autoFill="0" autoPict="0">
                <anchor moveWithCells="1">
                  <from>
                    <xdr:col>15</xdr:col>
                    <xdr:colOff>180975</xdr:colOff>
                    <xdr:row>64</xdr:row>
                    <xdr:rowOff>19050</xdr:rowOff>
                  </from>
                  <to>
                    <xdr:col>15</xdr:col>
                    <xdr:colOff>790575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83" name="Option Button 143">
              <controlPr defaultSize="0" autoFill="0" autoLine="0" autoPict="0">
                <anchor moveWithCells="1">
                  <from>
                    <xdr:col>15</xdr:col>
                    <xdr:colOff>219075</xdr:colOff>
                    <xdr:row>63</xdr:row>
                    <xdr:rowOff>57150</xdr:rowOff>
                  </from>
                  <to>
                    <xdr:col>15</xdr:col>
                    <xdr:colOff>476250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84" name="Option Button 144">
              <controlPr defaultSize="0" autoFill="0" autoLine="0" autoPict="0">
                <anchor moveWithCells="1">
                  <from>
                    <xdr:col>15</xdr:col>
                    <xdr:colOff>552450</xdr:colOff>
                    <xdr:row>63</xdr:row>
                    <xdr:rowOff>57150</xdr:rowOff>
                  </from>
                  <to>
                    <xdr:col>15</xdr:col>
                    <xdr:colOff>781050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85" name="Group Box 145">
              <controlPr defaultSize="0" autoFill="0" autoPict="0">
                <anchor moveWithCells="1">
                  <from>
                    <xdr:col>15</xdr:col>
                    <xdr:colOff>180975</xdr:colOff>
                    <xdr:row>63</xdr:row>
                    <xdr:rowOff>19050</xdr:rowOff>
                  </from>
                  <to>
                    <xdr:col>15</xdr:col>
                    <xdr:colOff>790575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86" name="Option Button 149">
              <controlPr defaultSize="0" autoFill="0" autoLine="0" autoPict="0">
                <anchor moveWithCells="1">
                  <from>
                    <xdr:col>15</xdr:col>
                    <xdr:colOff>219075</xdr:colOff>
                    <xdr:row>65</xdr:row>
                    <xdr:rowOff>57150</xdr:rowOff>
                  </from>
                  <to>
                    <xdr:col>15</xdr:col>
                    <xdr:colOff>476250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87" name="Option Button 150">
              <controlPr defaultSize="0" autoFill="0" autoLine="0" autoPict="0">
                <anchor moveWithCells="1">
                  <from>
                    <xdr:col>15</xdr:col>
                    <xdr:colOff>552450</xdr:colOff>
                    <xdr:row>65</xdr:row>
                    <xdr:rowOff>57150</xdr:rowOff>
                  </from>
                  <to>
                    <xdr:col>15</xdr:col>
                    <xdr:colOff>781050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88" name="Group Box 151">
              <controlPr defaultSize="0" autoFill="0" autoPict="0">
                <anchor moveWithCells="1">
                  <from>
                    <xdr:col>15</xdr:col>
                    <xdr:colOff>180975</xdr:colOff>
                    <xdr:row>65</xdr:row>
                    <xdr:rowOff>19050</xdr:rowOff>
                  </from>
                  <to>
                    <xdr:col>15</xdr:col>
                    <xdr:colOff>790575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89" name="Option Button 157">
              <controlPr defaultSize="0" autoFill="0" autoLine="0" autoPict="0">
                <anchor moveWithCells="1">
                  <from>
                    <xdr:col>9</xdr:col>
                    <xdr:colOff>971550</xdr:colOff>
                    <xdr:row>62</xdr:row>
                    <xdr:rowOff>209550</xdr:rowOff>
                  </from>
                  <to>
                    <xdr:col>9</xdr:col>
                    <xdr:colOff>1228725</xdr:colOff>
                    <xdr:row>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90" name="Option Button 158">
              <controlPr defaultSize="0" autoFill="0" autoLine="0" autoPict="0">
                <anchor moveWithCells="1">
                  <from>
                    <xdr:col>9</xdr:col>
                    <xdr:colOff>1304925</xdr:colOff>
                    <xdr:row>62</xdr:row>
                    <xdr:rowOff>209550</xdr:rowOff>
                  </from>
                  <to>
                    <xdr:col>9</xdr:col>
                    <xdr:colOff>1533525</xdr:colOff>
                    <xdr:row>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91" name="Group Box 161">
              <controlPr defaultSize="0" autoFill="0" autoPict="0">
                <anchor moveWithCells="1">
                  <from>
                    <xdr:col>9</xdr:col>
                    <xdr:colOff>952500</xdr:colOff>
                    <xdr:row>62</xdr:row>
                    <xdr:rowOff>200025</xdr:rowOff>
                  </from>
                  <to>
                    <xdr:col>9</xdr:col>
                    <xdr:colOff>1581150</xdr:colOff>
                    <xdr:row>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92" name="Group Box 162">
              <controlPr defaultSize="0" autoFill="0" autoPict="0">
                <anchor moveWithCells="1">
                  <from>
                    <xdr:col>9</xdr:col>
                    <xdr:colOff>942975</xdr:colOff>
                    <xdr:row>63</xdr:row>
                    <xdr:rowOff>180975</xdr:rowOff>
                  </from>
                  <to>
                    <xdr:col>9</xdr:col>
                    <xdr:colOff>1581150</xdr:colOff>
                    <xdr:row>64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93" name="Option Button 167">
              <controlPr defaultSize="0" autoFill="0" autoLine="0" autoPict="0">
                <anchor moveWithCells="1">
                  <from>
                    <xdr:col>9</xdr:col>
                    <xdr:colOff>971550</xdr:colOff>
                    <xdr:row>63</xdr:row>
                    <xdr:rowOff>209550</xdr:rowOff>
                  </from>
                  <to>
                    <xdr:col>9</xdr:col>
                    <xdr:colOff>1228725</xdr:colOff>
                    <xdr:row>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94" name="Option Button 168">
              <controlPr defaultSize="0" autoFill="0" autoLine="0" autoPict="0">
                <anchor moveWithCells="1">
                  <from>
                    <xdr:col>9</xdr:col>
                    <xdr:colOff>1304925</xdr:colOff>
                    <xdr:row>63</xdr:row>
                    <xdr:rowOff>209550</xdr:rowOff>
                  </from>
                  <to>
                    <xdr:col>9</xdr:col>
                    <xdr:colOff>1533525</xdr:colOff>
                    <xdr:row>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95" name="Group Box 169">
              <controlPr defaultSize="0" autoFill="0" autoPict="0">
                <anchor moveWithCells="1">
                  <from>
                    <xdr:col>9</xdr:col>
                    <xdr:colOff>952500</xdr:colOff>
                    <xdr:row>63</xdr:row>
                    <xdr:rowOff>200025</xdr:rowOff>
                  </from>
                  <to>
                    <xdr:col>9</xdr:col>
                    <xdr:colOff>1581150</xdr:colOff>
                    <xdr:row>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96" name="Group Box 170">
              <controlPr defaultSize="0" autoFill="0" autoPict="0">
                <anchor moveWithCells="1">
                  <from>
                    <xdr:col>9</xdr:col>
                    <xdr:colOff>942975</xdr:colOff>
                    <xdr:row>64</xdr:row>
                    <xdr:rowOff>180975</xdr:rowOff>
                  </from>
                  <to>
                    <xdr:col>9</xdr:col>
                    <xdr:colOff>1581150</xdr:colOff>
                    <xdr:row>65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L20"/>
  <sheetViews>
    <sheetView workbookViewId="0">
      <selection activeCell="C6" sqref="C6"/>
    </sheetView>
  </sheetViews>
  <sheetFormatPr defaultRowHeight="15" x14ac:dyDescent="0.25"/>
  <cols>
    <col min="1" max="1" width="4.140625" customWidth="1"/>
    <col min="2" max="2" width="36.85546875" customWidth="1"/>
    <col min="3" max="3" width="33.140625" customWidth="1"/>
    <col min="9" max="9" width="1.85546875" customWidth="1"/>
    <col min="10" max="10" width="18.7109375" customWidth="1"/>
    <col min="11" max="11" width="2" customWidth="1"/>
    <col min="12" max="12" width="8.85546875" customWidth="1"/>
  </cols>
  <sheetData>
    <row r="2" spans="2:12" ht="19.5" thickBot="1" x14ac:dyDescent="0.35">
      <c r="B2" s="111"/>
      <c r="C2" s="119"/>
      <c r="D2" s="742" t="s">
        <v>155</v>
      </c>
      <c r="E2" s="742"/>
      <c r="F2" s="742"/>
      <c r="G2" s="742"/>
      <c r="H2" s="740" t="s">
        <v>154</v>
      </c>
      <c r="I2" s="739" t="s">
        <v>149</v>
      </c>
      <c r="J2" s="120" t="s">
        <v>150</v>
      </c>
      <c r="K2" s="739" t="s">
        <v>152</v>
      </c>
      <c r="L2" s="110" t="s">
        <v>153</v>
      </c>
    </row>
    <row r="3" spans="2:12" ht="18.75" x14ac:dyDescent="0.3">
      <c r="B3" s="111"/>
      <c r="C3" s="119"/>
      <c r="D3" s="742"/>
      <c r="E3" s="742"/>
      <c r="F3" s="742"/>
      <c r="G3" s="742"/>
      <c r="H3" s="741"/>
      <c r="I3" s="739"/>
      <c r="J3" s="110" t="s">
        <v>151</v>
      </c>
      <c r="K3" s="739"/>
    </row>
    <row r="4" spans="2:12" ht="18.75" x14ac:dyDescent="0.3">
      <c r="B4" s="111"/>
      <c r="C4" s="34"/>
      <c r="D4" s="34"/>
      <c r="E4" s="34"/>
    </row>
    <row r="5" spans="2:12" ht="18.75" x14ac:dyDescent="0.3">
      <c r="B5" s="34"/>
      <c r="C5" s="34"/>
      <c r="D5" s="34"/>
      <c r="E5" s="34"/>
    </row>
    <row r="6" spans="2:12" ht="18.75" x14ac:dyDescent="0.3">
      <c r="B6" s="34" t="s">
        <v>140</v>
      </c>
      <c r="C6" s="112">
        <f>IF('Local Exhaust Ventilation'!I4=2, 0, 'Small Homes Ventilation'!G35)</f>
        <v>0</v>
      </c>
      <c r="D6" s="34" t="s">
        <v>6</v>
      </c>
      <c r="E6" s="34"/>
    </row>
    <row r="7" spans="2:12" ht="18.75" x14ac:dyDescent="0.3">
      <c r="B7" s="34" t="s">
        <v>141</v>
      </c>
      <c r="C7" s="112">
        <f>IF('Local Exhaust Ventilation'!I5=2, 0, 'Small Homes Ventilation'!G36)</f>
        <v>0</v>
      </c>
      <c r="D7" s="34" t="s">
        <v>6</v>
      </c>
      <c r="E7" s="34"/>
    </row>
    <row r="8" spans="2:12" ht="18.75" x14ac:dyDescent="0.3">
      <c r="B8" s="34" t="s">
        <v>142</v>
      </c>
      <c r="C8" s="112">
        <f>IF('Local Exhaust Ventilation'!I6=2, 0, 'Small Homes Ventilation'!G37)</f>
        <v>0</v>
      </c>
      <c r="D8" s="34" t="s">
        <v>6</v>
      </c>
      <c r="E8" s="34"/>
    </row>
    <row r="9" spans="2:12" ht="18.75" x14ac:dyDescent="0.3">
      <c r="B9" s="34" t="s">
        <v>143</v>
      </c>
      <c r="C9" s="127">
        <f>'Small Homes Ventilation'!K48</f>
        <v>0</v>
      </c>
      <c r="D9" s="34" t="s">
        <v>6</v>
      </c>
      <c r="E9" s="121"/>
    </row>
    <row r="10" spans="2:12" ht="19.5" thickBot="1" x14ac:dyDescent="0.35">
      <c r="B10" s="113" t="s">
        <v>144</v>
      </c>
      <c r="C10" s="128">
        <f>'Small Homes Ventilation'!K50</f>
        <v>0</v>
      </c>
      <c r="D10" s="34" t="s">
        <v>6</v>
      </c>
      <c r="E10" s="34"/>
    </row>
    <row r="11" spans="2:12" ht="19.5" thickBot="1" x14ac:dyDescent="0.35">
      <c r="B11" s="114" t="s">
        <v>145</v>
      </c>
      <c r="C11" s="115">
        <f>SUM(C6:C10)</f>
        <v>0</v>
      </c>
      <c r="D11" s="116" t="s">
        <v>6</v>
      </c>
      <c r="E11" s="34"/>
    </row>
    <row r="12" spans="2:12" ht="19.5" thickBot="1" x14ac:dyDescent="0.35">
      <c r="B12" s="34"/>
      <c r="C12" s="34"/>
      <c r="D12" s="34"/>
      <c r="E12" s="34"/>
    </row>
    <row r="13" spans="2:12" ht="19.5" thickBot="1" x14ac:dyDescent="0.35">
      <c r="B13" s="34" t="s">
        <v>146</v>
      </c>
      <c r="C13" s="115">
        <f>IF('Small Homes Ventilation'!G44="", 0.01, 'Small Homes Ventilation'!G44)</f>
        <v>0.01</v>
      </c>
      <c r="D13" s="116" t="s">
        <v>6</v>
      </c>
      <c r="E13" s="34"/>
    </row>
    <row r="14" spans="2:12" ht="19.5" thickBot="1" x14ac:dyDescent="0.35">
      <c r="B14" s="34"/>
      <c r="C14" s="34"/>
      <c r="D14" s="34"/>
      <c r="E14" s="34"/>
    </row>
    <row r="15" spans="2:12" ht="19.5" thickBot="1" x14ac:dyDescent="0.35">
      <c r="B15" s="34" t="s">
        <v>147</v>
      </c>
      <c r="C15" s="117">
        <f>-50*(ABS(C11/C13))^(1/0.65)</f>
        <v>0</v>
      </c>
      <c r="D15" s="118" t="s">
        <v>148</v>
      </c>
      <c r="E15" s="34"/>
    </row>
    <row r="17" spans="2:4" ht="15.75" thickBot="1" x14ac:dyDescent="0.3"/>
    <row r="18" spans="2:4" ht="19.5" thickBot="1" x14ac:dyDescent="0.35">
      <c r="B18" s="34" t="s">
        <v>174</v>
      </c>
      <c r="C18" s="193" t="str">
        <f>IF(B20=1, 2, IF(B20=2, 3, IF(B20=3, 5, IF(B20=4, 15, IF(B20=5, 50, "Select CAZ Limit")))))</f>
        <v>Select CAZ Limit</v>
      </c>
      <c r="D18" s="191" t="s">
        <v>173</v>
      </c>
    </row>
    <row r="19" spans="2:4" ht="18.75" x14ac:dyDescent="0.3">
      <c r="B19" s="192" t="s">
        <v>175</v>
      </c>
      <c r="C19" t="str">
        <f>IF(C18="Select CAZ Limit", "Select CAZ Limit", 2*C18/3)</f>
        <v>Select CAZ Limit</v>
      </c>
      <c r="D19" s="191" t="s">
        <v>173</v>
      </c>
    </row>
    <row r="20" spans="2:4" x14ac:dyDescent="0.25">
      <c r="B20" s="274">
        <v>0</v>
      </c>
    </row>
  </sheetData>
  <sheetProtection password="C706" sheet="1" objects="1" scenarios="1" selectLockedCells="1" selectUnlockedCells="1"/>
  <mergeCells count="4">
    <mergeCell ref="I2:I3"/>
    <mergeCell ref="K2:K3"/>
    <mergeCell ref="H2:H3"/>
    <mergeCell ref="D2:G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theme="5" tint="-0.249977111117893"/>
    <pageSetUpPr fitToPage="1"/>
  </sheetPr>
  <dimension ref="A1:M67"/>
  <sheetViews>
    <sheetView zoomScaleNormal="100" workbookViewId="0">
      <pane ySplit="15" topLeftCell="A16" activePane="bottomLeft" state="frozen"/>
      <selection pane="bottomLeft" activeCell="B19" sqref="B19"/>
    </sheetView>
  </sheetViews>
  <sheetFormatPr defaultRowHeight="15" x14ac:dyDescent="0.25"/>
  <cols>
    <col min="1" max="1" width="4.28515625" customWidth="1"/>
    <col min="2" max="2" width="9.28515625" customWidth="1"/>
    <col min="3" max="3" width="7" customWidth="1"/>
    <col min="4" max="4" width="41.42578125" customWidth="1"/>
    <col min="5" max="5" width="2.5703125" customWidth="1"/>
    <col min="7" max="7" width="5.28515625" customWidth="1"/>
    <col min="8" max="8" width="35" customWidth="1"/>
    <col min="9" max="9" width="4.5703125" customWidth="1"/>
    <col min="11" max="11" width="5.5703125" customWidth="1"/>
    <col min="12" max="12" width="40.7109375" customWidth="1"/>
    <col min="13" max="13" width="15.5703125" customWidth="1"/>
    <col min="16" max="16" width="37.7109375" customWidth="1"/>
    <col min="17" max="17" width="3.28515625" customWidth="1"/>
  </cols>
  <sheetData>
    <row r="1" spans="1:13" ht="20.25" customHeight="1" thickTop="1" x14ac:dyDescent="0.3">
      <c r="A1" s="756" t="s">
        <v>221</v>
      </c>
      <c r="B1" s="757"/>
      <c r="C1" s="757"/>
      <c r="D1" s="757"/>
      <c r="E1" s="442"/>
      <c r="F1" s="442"/>
      <c r="G1" s="442"/>
      <c r="H1" s="442"/>
      <c r="I1" s="442"/>
      <c r="J1" s="442"/>
      <c r="K1" s="442"/>
      <c r="L1" s="443"/>
    </row>
    <row r="2" spans="1:13" x14ac:dyDescent="0.25">
      <c r="A2" s="768" t="s">
        <v>296</v>
      </c>
      <c r="B2" s="769"/>
      <c r="C2" s="767" t="s">
        <v>290</v>
      </c>
      <c r="D2" s="767"/>
      <c r="E2" s="366"/>
      <c r="F2" s="1"/>
      <c r="G2" s="1"/>
      <c r="H2" s="367" t="s">
        <v>293</v>
      </c>
      <c r="I2" s="362"/>
      <c r="J2" s="1"/>
      <c r="K2" s="1"/>
      <c r="L2" s="444"/>
      <c r="M2" s="362"/>
    </row>
    <row r="3" spans="1:13" x14ac:dyDescent="0.25">
      <c r="A3" s="445"/>
      <c r="B3" s="1"/>
      <c r="C3" s="1"/>
      <c r="D3" s="446"/>
      <c r="E3" s="1"/>
      <c r="F3" s="1"/>
      <c r="G3" s="1"/>
      <c r="H3" s="1"/>
      <c r="I3" s="1"/>
      <c r="J3" s="1"/>
      <c r="K3" s="1"/>
      <c r="L3" s="447"/>
      <c r="M3" s="1"/>
    </row>
    <row r="4" spans="1:13" x14ac:dyDescent="0.25">
      <c r="A4" s="445"/>
      <c r="B4" s="1"/>
      <c r="C4" s="1"/>
      <c r="D4" s="446"/>
      <c r="E4" s="1"/>
      <c r="F4" s="1"/>
      <c r="G4" s="1"/>
      <c r="H4" s="1"/>
      <c r="I4" s="1"/>
      <c r="J4" s="1"/>
      <c r="K4" s="1"/>
      <c r="L4" s="447"/>
    </row>
    <row r="5" spans="1:13" x14ac:dyDescent="0.25">
      <c r="A5" s="445"/>
      <c r="B5" s="1"/>
      <c r="C5" s="1"/>
      <c r="D5" s="446"/>
      <c r="E5" s="1"/>
      <c r="F5" s="1"/>
      <c r="G5" s="1"/>
      <c r="H5" s="1"/>
      <c r="I5" s="1"/>
      <c r="J5" s="1"/>
      <c r="K5" s="1"/>
      <c r="L5" s="447"/>
    </row>
    <row r="6" spans="1:13" x14ac:dyDescent="0.25">
      <c r="A6" s="445"/>
      <c r="B6" s="1"/>
      <c r="C6" s="1"/>
      <c r="D6" s="446"/>
      <c r="E6" s="1"/>
      <c r="F6" s="1"/>
      <c r="G6" s="1"/>
      <c r="H6" s="1"/>
      <c r="I6" s="1"/>
      <c r="J6" s="1"/>
      <c r="K6" s="1"/>
      <c r="L6" s="447"/>
    </row>
    <row r="7" spans="1:13" ht="29.25" customHeight="1" x14ac:dyDescent="0.25">
      <c r="A7" s="758" t="s">
        <v>295</v>
      </c>
      <c r="B7" s="759"/>
      <c r="C7" s="1"/>
      <c r="D7" s="446"/>
      <c r="E7" s="1"/>
      <c r="F7" s="1"/>
      <c r="G7" s="1"/>
      <c r="H7" s="1"/>
      <c r="I7" s="1"/>
      <c r="J7" s="1"/>
      <c r="K7" s="1"/>
      <c r="L7" s="447"/>
    </row>
    <row r="8" spans="1:13" ht="15" customHeight="1" x14ac:dyDescent="0.25">
      <c r="A8" s="758"/>
      <c r="B8" s="759"/>
      <c r="C8" s="1"/>
      <c r="D8" s="446"/>
      <c r="E8" s="1"/>
      <c r="F8" s="1"/>
      <c r="G8" s="1"/>
      <c r="H8" s="1"/>
      <c r="I8" s="1"/>
      <c r="J8" s="1"/>
      <c r="K8" s="1"/>
      <c r="L8" s="447"/>
    </row>
    <row r="9" spans="1:13" x14ac:dyDescent="0.25">
      <c r="A9" s="758"/>
      <c r="B9" s="759"/>
      <c r="C9" s="747" t="s">
        <v>291</v>
      </c>
      <c r="D9" s="747"/>
      <c r="E9" s="747"/>
      <c r="F9" s="747"/>
      <c r="G9" s="747" t="s">
        <v>294</v>
      </c>
      <c r="H9" s="747"/>
      <c r="I9" s="747"/>
      <c r="J9" s="747"/>
      <c r="K9" s="1"/>
      <c r="L9" s="447"/>
    </row>
    <row r="10" spans="1:13" x14ac:dyDescent="0.25">
      <c r="A10" s="758"/>
      <c r="B10" s="759"/>
      <c r="C10" s="1"/>
      <c r="D10" s="1"/>
      <c r="E10" s="1"/>
      <c r="F10" s="1"/>
      <c r="G10" s="1"/>
      <c r="H10" s="1"/>
      <c r="I10" s="1"/>
      <c r="J10" s="1"/>
      <c r="K10" s="1"/>
      <c r="L10" s="447"/>
    </row>
    <row r="11" spans="1:13" x14ac:dyDescent="0.25">
      <c r="A11" s="758"/>
      <c r="B11" s="759"/>
      <c r="C11" s="1"/>
      <c r="D11" s="1"/>
      <c r="E11" s="1"/>
      <c r="F11" s="1"/>
      <c r="G11" s="1"/>
      <c r="H11" s="1"/>
      <c r="I11" s="1"/>
      <c r="J11" s="1"/>
      <c r="K11" s="1"/>
      <c r="L11" s="447"/>
    </row>
    <row r="12" spans="1:13" ht="15" customHeight="1" x14ac:dyDescent="0.25">
      <c r="A12" s="758"/>
      <c r="B12" s="759"/>
      <c r="C12" s="1"/>
      <c r="D12" s="1"/>
      <c r="E12" s="1"/>
      <c r="F12" s="1"/>
      <c r="G12" s="1"/>
      <c r="H12" s="1"/>
      <c r="I12" s="1"/>
      <c r="J12" s="448"/>
      <c r="K12" s="1"/>
      <c r="L12" s="447"/>
    </row>
    <row r="13" spans="1:13" x14ac:dyDescent="0.25">
      <c r="A13" s="449"/>
      <c r="B13" s="79"/>
      <c r="C13" s="1"/>
      <c r="D13" s="1"/>
      <c r="E13" s="1"/>
      <c r="F13" s="1"/>
      <c r="G13" s="1"/>
      <c r="H13" s="1"/>
      <c r="I13" s="1"/>
      <c r="J13" s="1"/>
      <c r="K13" s="1"/>
      <c r="L13" s="447"/>
    </row>
    <row r="14" spans="1:13" x14ac:dyDescent="0.25">
      <c r="A14" s="449"/>
      <c r="B14" s="79"/>
      <c r="C14" s="1"/>
      <c r="D14" s="1"/>
      <c r="E14" s="1"/>
      <c r="F14" s="1"/>
      <c r="G14" s="1"/>
      <c r="H14" s="1"/>
      <c r="I14" s="1"/>
      <c r="J14" s="1"/>
      <c r="K14" s="1"/>
      <c r="L14" s="447"/>
    </row>
    <row r="15" spans="1:13" x14ac:dyDescent="0.25">
      <c r="A15" s="449"/>
      <c r="B15" s="79"/>
      <c r="C15" s="1"/>
      <c r="D15" s="1"/>
      <c r="E15" s="1"/>
      <c r="F15" s="1"/>
      <c r="G15" s="1"/>
      <c r="H15" s="1"/>
      <c r="I15" s="1"/>
      <c r="J15" s="565"/>
      <c r="K15" s="1"/>
      <c r="L15" s="447"/>
    </row>
    <row r="16" spans="1:13" x14ac:dyDescent="0.25">
      <c r="A16" s="450"/>
      <c r="B16" s="761"/>
      <c r="C16" s="762"/>
      <c r="D16" s="762"/>
      <c r="E16" s="762"/>
      <c r="F16" s="762"/>
      <c r="G16" s="762"/>
      <c r="H16" s="762"/>
      <c r="I16" s="762"/>
      <c r="J16" s="762"/>
      <c r="K16" s="762"/>
      <c r="L16" s="763"/>
    </row>
    <row r="17" spans="1:12" x14ac:dyDescent="0.25">
      <c r="A17" s="451"/>
      <c r="B17" s="764"/>
      <c r="C17" s="765"/>
      <c r="D17" s="765"/>
      <c r="E17" s="765"/>
      <c r="F17" s="765"/>
      <c r="G17" s="765"/>
      <c r="H17" s="765"/>
      <c r="I17" s="765"/>
      <c r="J17" s="765"/>
      <c r="K17" s="765"/>
      <c r="L17" s="766"/>
    </row>
    <row r="18" spans="1:12" x14ac:dyDescent="0.25">
      <c r="A18" s="445"/>
      <c r="B18" s="370">
        <f>'Multifamily Ventilation'!G34</f>
        <v>0</v>
      </c>
      <c r="C18" s="760" t="s">
        <v>284</v>
      </c>
      <c r="D18" s="747"/>
      <c r="E18" s="1"/>
      <c r="F18" s="371">
        <f>'Multifamily Ventilation'!G44</f>
        <v>0</v>
      </c>
      <c r="G18" s="760" t="s">
        <v>284</v>
      </c>
      <c r="H18" s="747"/>
      <c r="I18" s="1"/>
      <c r="J18" s="371">
        <f>'Multifamily Ventilation'!G54</f>
        <v>0</v>
      </c>
      <c r="K18" s="760" t="s">
        <v>284</v>
      </c>
      <c r="L18" s="748"/>
    </row>
    <row r="19" spans="1:12" x14ac:dyDescent="0.25">
      <c r="A19" s="445"/>
      <c r="B19" s="396"/>
      <c r="C19" s="747" t="s">
        <v>297</v>
      </c>
      <c r="D19" s="747"/>
      <c r="E19" s="1"/>
      <c r="F19" s="396"/>
      <c r="G19" s="747" t="s">
        <v>297</v>
      </c>
      <c r="H19" s="747"/>
      <c r="I19" s="1"/>
      <c r="J19" s="396"/>
      <c r="K19" s="747" t="s">
        <v>297</v>
      </c>
      <c r="L19" s="748"/>
    </row>
    <row r="20" spans="1:12" x14ac:dyDescent="0.25">
      <c r="A20" s="452"/>
      <c r="B20" s="305" t="s">
        <v>236</v>
      </c>
      <c r="C20" s="1"/>
      <c r="D20" s="446"/>
      <c r="E20" s="1"/>
      <c r="F20" s="305" t="s">
        <v>236</v>
      </c>
      <c r="G20" s="1"/>
      <c r="H20" s="446"/>
      <c r="I20" s="1"/>
      <c r="J20" s="305" t="s">
        <v>236</v>
      </c>
      <c r="K20" s="1"/>
      <c r="L20" s="453"/>
    </row>
    <row r="21" spans="1:12" x14ac:dyDescent="0.25">
      <c r="A21" s="452"/>
      <c r="B21" s="302"/>
      <c r="C21" s="1" t="s">
        <v>110</v>
      </c>
      <c r="D21" s="1" t="s">
        <v>237</v>
      </c>
      <c r="E21" s="1"/>
      <c r="F21" s="302"/>
      <c r="G21" s="1" t="s">
        <v>110</v>
      </c>
      <c r="H21" s="1" t="s">
        <v>237</v>
      </c>
      <c r="I21" s="1"/>
      <c r="J21" s="302"/>
      <c r="K21" s="1" t="s">
        <v>110</v>
      </c>
      <c r="L21" s="447" t="s">
        <v>237</v>
      </c>
    </row>
    <row r="22" spans="1:12" x14ac:dyDescent="0.25">
      <c r="A22" s="452"/>
      <c r="B22" s="302"/>
      <c r="C22" s="1" t="s">
        <v>110</v>
      </c>
      <c r="D22" s="1" t="s">
        <v>238</v>
      </c>
      <c r="E22" s="1"/>
      <c r="F22" s="302"/>
      <c r="G22" s="1" t="s">
        <v>110</v>
      </c>
      <c r="H22" s="1" t="s">
        <v>238</v>
      </c>
      <c r="I22" s="1"/>
      <c r="J22" s="302"/>
      <c r="K22" s="1" t="s">
        <v>110</v>
      </c>
      <c r="L22" s="447" t="s">
        <v>238</v>
      </c>
    </row>
    <row r="23" spans="1:12" x14ac:dyDescent="0.25">
      <c r="A23" s="452"/>
      <c r="B23" s="302"/>
      <c r="C23" s="1" t="s">
        <v>110</v>
      </c>
      <c r="D23" s="1" t="s">
        <v>239</v>
      </c>
      <c r="E23" s="1"/>
      <c r="F23" s="302"/>
      <c r="G23" s="1" t="s">
        <v>110</v>
      </c>
      <c r="H23" s="1" t="s">
        <v>239</v>
      </c>
      <c r="I23" s="1"/>
      <c r="J23" s="302"/>
      <c r="K23" s="1" t="s">
        <v>110</v>
      </c>
      <c r="L23" s="447" t="s">
        <v>239</v>
      </c>
    </row>
    <row r="24" spans="1:12" x14ac:dyDescent="0.25">
      <c r="A24" s="452"/>
      <c r="B24" s="302"/>
      <c r="C24" s="1" t="s">
        <v>110</v>
      </c>
      <c r="D24" s="1" t="s">
        <v>240</v>
      </c>
      <c r="E24" s="1"/>
      <c r="F24" s="302"/>
      <c r="G24" s="1" t="s">
        <v>110</v>
      </c>
      <c r="H24" s="1" t="s">
        <v>240</v>
      </c>
      <c r="I24" s="1"/>
      <c r="J24" s="302"/>
      <c r="K24" s="1" t="s">
        <v>110</v>
      </c>
      <c r="L24" s="447" t="s">
        <v>240</v>
      </c>
    </row>
    <row r="25" spans="1:12" x14ac:dyDescent="0.25">
      <c r="A25" s="452"/>
      <c r="B25" s="302"/>
      <c r="C25" s="1" t="s">
        <v>110</v>
      </c>
      <c r="D25" s="1" t="s">
        <v>241</v>
      </c>
      <c r="E25" s="1"/>
      <c r="F25" s="302"/>
      <c r="G25" s="1" t="s">
        <v>110</v>
      </c>
      <c r="H25" s="1" t="s">
        <v>241</v>
      </c>
      <c r="I25" s="1"/>
      <c r="J25" s="302"/>
      <c r="K25" s="1" t="s">
        <v>110</v>
      </c>
      <c r="L25" s="447" t="s">
        <v>241</v>
      </c>
    </row>
    <row r="26" spans="1:12" x14ac:dyDescent="0.25">
      <c r="A26" s="452"/>
      <c r="B26" s="302"/>
      <c r="C26" s="100" t="s">
        <v>110</v>
      </c>
      <c r="D26" s="43" t="s">
        <v>242</v>
      </c>
      <c r="E26" s="1"/>
      <c r="F26" s="302"/>
      <c r="G26" s="100" t="s">
        <v>110</v>
      </c>
      <c r="H26" s="43" t="s">
        <v>242</v>
      </c>
      <c r="I26" s="1"/>
      <c r="J26" s="302"/>
      <c r="K26" s="100" t="s">
        <v>110</v>
      </c>
      <c r="L26" s="454" t="s">
        <v>242</v>
      </c>
    </row>
    <row r="27" spans="1:12" ht="18" x14ac:dyDescent="0.35">
      <c r="A27" s="455" t="s">
        <v>230</v>
      </c>
      <c r="B27" s="301" t="str">
        <f>IF(SUM(B21:B26)=0,"",SUM(B21:B26))</f>
        <v/>
      </c>
      <c r="C27" s="1" t="s">
        <v>110</v>
      </c>
      <c r="D27" s="446" t="s">
        <v>226</v>
      </c>
      <c r="E27" s="1"/>
      <c r="F27" s="301" t="str">
        <f>IF(SUM(F21:F26)=0,"",SUM(F21:F26))</f>
        <v/>
      </c>
      <c r="G27" s="1" t="s">
        <v>110</v>
      </c>
      <c r="H27" s="446" t="s">
        <v>226</v>
      </c>
      <c r="I27" s="1"/>
      <c r="J27" s="301" t="str">
        <f>IF(SUM(J21:J26)=0,"",SUM(J21:J26))</f>
        <v/>
      </c>
      <c r="K27" s="1" t="s">
        <v>110</v>
      </c>
      <c r="L27" s="453" t="s">
        <v>226</v>
      </c>
    </row>
    <row r="28" spans="1:12" x14ac:dyDescent="0.25">
      <c r="A28" s="452"/>
      <c r="B28" s="79"/>
      <c r="C28" s="1"/>
      <c r="D28" s="1"/>
      <c r="E28" s="1"/>
      <c r="F28" s="79"/>
      <c r="G28" s="1"/>
      <c r="H28" s="1"/>
      <c r="I28" s="1"/>
      <c r="J28" s="79"/>
      <c r="K28" s="1"/>
      <c r="L28" s="447"/>
    </row>
    <row r="29" spans="1:12" ht="14.45" customHeight="1" x14ac:dyDescent="0.25">
      <c r="A29" s="452"/>
      <c r="B29" s="305" t="s">
        <v>225</v>
      </c>
      <c r="C29" s="1"/>
      <c r="D29" s="1"/>
      <c r="E29" s="1"/>
      <c r="F29" s="305" t="s">
        <v>225</v>
      </c>
      <c r="G29" s="1"/>
      <c r="H29" s="1"/>
      <c r="I29" s="1"/>
      <c r="J29" s="305" t="s">
        <v>225</v>
      </c>
      <c r="K29" s="1"/>
      <c r="L29" s="447"/>
    </row>
    <row r="30" spans="1:12" ht="14.45" customHeight="1" x14ac:dyDescent="0.25">
      <c r="A30" s="452"/>
      <c r="B30" s="368"/>
      <c r="C30" s="1" t="s">
        <v>110</v>
      </c>
      <c r="D30" s="1" t="s">
        <v>292</v>
      </c>
      <c r="E30" s="1"/>
      <c r="F30" s="368"/>
      <c r="G30" s="1" t="s">
        <v>110</v>
      </c>
      <c r="H30" s="1" t="s">
        <v>292</v>
      </c>
      <c r="I30" s="1"/>
      <c r="J30" s="368"/>
      <c r="K30" s="1" t="s">
        <v>110</v>
      </c>
      <c r="L30" s="447" t="s">
        <v>292</v>
      </c>
    </row>
    <row r="31" spans="1:12" ht="14.45" customHeight="1" x14ac:dyDescent="0.25">
      <c r="A31" s="452"/>
      <c r="B31" s="368"/>
      <c r="C31" s="1" t="s">
        <v>110</v>
      </c>
      <c r="D31" s="1" t="s">
        <v>286</v>
      </c>
      <c r="E31" s="1"/>
      <c r="F31" s="368"/>
      <c r="G31" s="1" t="s">
        <v>110</v>
      </c>
      <c r="H31" s="1" t="s">
        <v>286</v>
      </c>
      <c r="I31" s="1"/>
      <c r="J31" s="368"/>
      <c r="K31" s="1" t="s">
        <v>110</v>
      </c>
      <c r="L31" s="447" t="s">
        <v>286</v>
      </c>
    </row>
    <row r="32" spans="1:12" x14ac:dyDescent="0.25">
      <c r="A32" s="452"/>
      <c r="B32" s="302"/>
      <c r="C32" s="1" t="s">
        <v>110</v>
      </c>
      <c r="D32" s="1" t="s">
        <v>227</v>
      </c>
      <c r="E32" s="1"/>
      <c r="F32" s="368"/>
      <c r="G32" s="1" t="s">
        <v>110</v>
      </c>
      <c r="H32" s="1" t="s">
        <v>227</v>
      </c>
      <c r="I32" s="1"/>
      <c r="J32" s="302"/>
      <c r="K32" s="1" t="s">
        <v>110</v>
      </c>
      <c r="L32" s="447" t="s">
        <v>227</v>
      </c>
    </row>
    <row r="33" spans="1:13" x14ac:dyDescent="0.25">
      <c r="A33" s="452"/>
      <c r="B33" s="302"/>
      <c r="C33" s="100" t="s">
        <v>110</v>
      </c>
      <c r="D33" s="43" t="s">
        <v>228</v>
      </c>
      <c r="E33" s="1"/>
      <c r="F33" s="368"/>
      <c r="G33" s="100" t="s">
        <v>110</v>
      </c>
      <c r="H33" s="43" t="s">
        <v>228</v>
      </c>
      <c r="I33" s="1"/>
      <c r="J33" s="302"/>
      <c r="K33" s="100" t="s">
        <v>110</v>
      </c>
      <c r="L33" s="454" t="s">
        <v>228</v>
      </c>
    </row>
    <row r="34" spans="1:13" ht="18" x14ac:dyDescent="0.35">
      <c r="A34" s="455" t="s">
        <v>231</v>
      </c>
      <c r="B34" s="301" t="str">
        <f>IF(SUM(B30:B33)=0,"",SUM(B30:B33))</f>
        <v/>
      </c>
      <c r="C34" s="1" t="s">
        <v>110</v>
      </c>
      <c r="D34" s="446" t="s">
        <v>235</v>
      </c>
      <c r="E34" s="1"/>
      <c r="F34" s="301" t="str">
        <f>IF(SUM(F30:F33)=0,"",SUM(F30:F33))</f>
        <v/>
      </c>
      <c r="G34" s="1" t="s">
        <v>110</v>
      </c>
      <c r="H34" s="446" t="s">
        <v>235</v>
      </c>
      <c r="I34" s="1"/>
      <c r="J34" s="301" t="str">
        <f>IF(SUM(J30:J33)=0,"",SUM(J30:J33))</f>
        <v/>
      </c>
      <c r="K34" s="1" t="s">
        <v>110</v>
      </c>
      <c r="L34" s="453" t="s">
        <v>235</v>
      </c>
    </row>
    <row r="35" spans="1:13" x14ac:dyDescent="0.25">
      <c r="A35" s="452"/>
      <c r="B35" s="79"/>
      <c r="C35" s="1"/>
      <c r="D35" s="1"/>
      <c r="E35" s="1"/>
      <c r="F35" s="79"/>
      <c r="G35" s="1"/>
      <c r="H35" s="1"/>
      <c r="I35" s="1"/>
      <c r="J35" s="79"/>
      <c r="K35" s="1"/>
      <c r="L35" s="447"/>
    </row>
    <row r="36" spans="1:13" ht="18" x14ac:dyDescent="0.35">
      <c r="A36" s="456" t="s">
        <v>232</v>
      </c>
      <c r="B36" s="369" t="str">
        <f>IF(B27="","",(B27-B34)/B27)</f>
        <v/>
      </c>
      <c r="C36" s="1"/>
      <c r="D36" s="446" t="s">
        <v>229</v>
      </c>
      <c r="E36" s="1"/>
      <c r="F36" s="369" t="str">
        <f>IF(F27="","",(F27-F34)/F27)</f>
        <v/>
      </c>
      <c r="G36" s="1"/>
      <c r="H36" s="751" t="s">
        <v>229</v>
      </c>
      <c r="I36" s="752"/>
      <c r="J36" s="369" t="str">
        <f>IF(J27="","",(J27-J34)/J27)</f>
        <v/>
      </c>
      <c r="K36" s="1"/>
      <c r="L36" s="453" t="s">
        <v>229</v>
      </c>
    </row>
    <row r="37" spans="1:13" ht="18.75" thickBot="1" x14ac:dyDescent="0.4">
      <c r="A37" s="452"/>
      <c r="B37" s="414">
        <f>'Multifamily Calculations'!G20</f>
        <v>0</v>
      </c>
      <c r="C37" s="1" t="s">
        <v>6</v>
      </c>
      <c r="D37" s="446" t="s">
        <v>272</v>
      </c>
      <c r="E37" s="1"/>
      <c r="F37" s="414">
        <f>'Multifamily Calculations'!J20</f>
        <v>0</v>
      </c>
      <c r="G37" s="1" t="s">
        <v>6</v>
      </c>
      <c r="H37" s="446" t="s">
        <v>272</v>
      </c>
      <c r="I37" s="1"/>
      <c r="J37" s="414">
        <f>'Multifamily Calculations'!M20</f>
        <v>0</v>
      </c>
      <c r="K37" s="1" t="s">
        <v>6</v>
      </c>
      <c r="L37" s="453" t="s">
        <v>272</v>
      </c>
    </row>
    <row r="38" spans="1:13" ht="19.5" thickTop="1" thickBot="1" x14ac:dyDescent="0.4">
      <c r="A38" s="452"/>
      <c r="B38" s="415" t="str">
        <f>IFERROR(B36*B37,"")</f>
        <v/>
      </c>
      <c r="C38" s="446" t="s">
        <v>6</v>
      </c>
      <c r="D38" s="446" t="s">
        <v>233</v>
      </c>
      <c r="E38" s="1"/>
      <c r="F38" s="415" t="str">
        <f>IFERROR(F36*F37,"")</f>
        <v/>
      </c>
      <c r="G38" s="446" t="s">
        <v>6</v>
      </c>
      <c r="H38" s="446" t="s">
        <v>233</v>
      </c>
      <c r="I38" s="1"/>
      <c r="J38" s="415" t="str">
        <f>IFERROR(J36*J37,"")</f>
        <v/>
      </c>
      <c r="K38" s="446" t="s">
        <v>6</v>
      </c>
      <c r="L38" s="453" t="s">
        <v>233</v>
      </c>
    </row>
    <row r="39" spans="1:13" ht="15.75" thickTop="1" x14ac:dyDescent="0.25">
      <c r="A39" s="457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58"/>
      <c r="M39" s="1"/>
    </row>
    <row r="40" spans="1:13" x14ac:dyDescent="0.25">
      <c r="A40" s="753"/>
      <c r="B40" s="754"/>
      <c r="C40" s="754"/>
      <c r="D40" s="754"/>
      <c r="E40" s="754"/>
      <c r="F40" s="754"/>
      <c r="G40" s="754"/>
      <c r="H40" s="754"/>
      <c r="I40" s="754"/>
      <c r="J40" s="754"/>
      <c r="K40" s="754"/>
      <c r="L40" s="755"/>
      <c r="M40" s="1"/>
    </row>
    <row r="41" spans="1:13" x14ac:dyDescent="0.25">
      <c r="A41" s="459"/>
      <c r="B41" s="413"/>
      <c r="C41" s="413"/>
      <c r="D41" s="413"/>
      <c r="E41" s="413"/>
      <c r="F41" s="413"/>
      <c r="G41" s="413"/>
      <c r="H41" s="413"/>
      <c r="I41" s="413"/>
      <c r="J41" s="413"/>
      <c r="K41" s="413"/>
      <c r="L41" s="460"/>
      <c r="M41" s="1"/>
    </row>
    <row r="42" spans="1:13" x14ac:dyDescent="0.25">
      <c r="A42" s="445"/>
      <c r="B42" s="372">
        <f>'Multifamily Ventilation'!G64</f>
        <v>0</v>
      </c>
      <c r="C42" s="749" t="s">
        <v>284</v>
      </c>
      <c r="D42" s="750"/>
      <c r="E42" s="1"/>
      <c r="F42" s="372">
        <f>'Multifamily Ventilation'!G74</f>
        <v>0</v>
      </c>
      <c r="G42" s="749" t="s">
        <v>284</v>
      </c>
      <c r="H42" s="750"/>
      <c r="I42" s="1"/>
      <c r="J42" s="1"/>
      <c r="K42" s="1"/>
      <c r="L42" s="447"/>
    </row>
    <row r="43" spans="1:13" x14ac:dyDescent="0.25">
      <c r="A43" s="445"/>
      <c r="B43" s="396"/>
      <c r="C43" s="747" t="s">
        <v>297</v>
      </c>
      <c r="D43" s="747"/>
      <c r="E43" s="1"/>
      <c r="F43" s="396"/>
      <c r="G43" s="747" t="s">
        <v>297</v>
      </c>
      <c r="H43" s="747"/>
      <c r="I43" s="1"/>
      <c r="J43" s="1"/>
      <c r="K43" s="1"/>
      <c r="L43" s="447"/>
    </row>
    <row r="44" spans="1:13" x14ac:dyDescent="0.25">
      <c r="A44" s="445"/>
      <c r="B44" s="305" t="s">
        <v>236</v>
      </c>
      <c r="C44" s="1"/>
      <c r="D44" s="446"/>
      <c r="E44" s="1"/>
      <c r="F44" s="305" t="s">
        <v>236</v>
      </c>
      <c r="G44" s="1"/>
      <c r="H44" s="446"/>
      <c r="I44" s="1"/>
      <c r="J44" s="1"/>
      <c r="K44" s="1"/>
      <c r="L44" s="447"/>
    </row>
    <row r="45" spans="1:13" x14ac:dyDescent="0.25">
      <c r="A45" s="445"/>
      <c r="B45" s="302"/>
      <c r="C45" s="1" t="s">
        <v>110</v>
      </c>
      <c r="D45" s="1" t="s">
        <v>237</v>
      </c>
      <c r="E45" s="1"/>
      <c r="F45" s="302"/>
      <c r="G45" s="1" t="s">
        <v>110</v>
      </c>
      <c r="H45" s="1" t="s">
        <v>237</v>
      </c>
      <c r="I45" s="1"/>
      <c r="J45" s="1"/>
      <c r="K45" s="1"/>
      <c r="L45" s="447"/>
    </row>
    <row r="46" spans="1:13" x14ac:dyDescent="0.25">
      <c r="A46" s="445"/>
      <c r="B46" s="302"/>
      <c r="C46" s="1" t="s">
        <v>110</v>
      </c>
      <c r="D46" s="1" t="s">
        <v>238</v>
      </c>
      <c r="E46" s="1"/>
      <c r="F46" s="302"/>
      <c r="G46" s="1" t="s">
        <v>110</v>
      </c>
      <c r="H46" s="1" t="s">
        <v>238</v>
      </c>
      <c r="I46" s="1"/>
      <c r="J46" s="1"/>
      <c r="K46" s="1"/>
      <c r="L46" s="447"/>
    </row>
    <row r="47" spans="1:13" x14ac:dyDescent="0.25">
      <c r="A47" s="445"/>
      <c r="B47" s="302"/>
      <c r="C47" s="1" t="s">
        <v>110</v>
      </c>
      <c r="D47" s="1" t="s">
        <v>239</v>
      </c>
      <c r="E47" s="1"/>
      <c r="F47" s="302"/>
      <c r="G47" s="1" t="s">
        <v>110</v>
      </c>
      <c r="H47" s="1" t="s">
        <v>239</v>
      </c>
      <c r="I47" s="1"/>
      <c r="J47" s="1"/>
      <c r="K47" s="1"/>
      <c r="L47" s="447"/>
    </row>
    <row r="48" spans="1:13" x14ac:dyDescent="0.25">
      <c r="A48" s="445"/>
      <c r="B48" s="302"/>
      <c r="C48" s="1" t="s">
        <v>110</v>
      </c>
      <c r="D48" s="1" t="s">
        <v>240</v>
      </c>
      <c r="E48" s="1"/>
      <c r="F48" s="302"/>
      <c r="G48" s="1" t="s">
        <v>110</v>
      </c>
      <c r="H48" s="1" t="s">
        <v>240</v>
      </c>
      <c r="I48" s="1"/>
      <c r="J48" s="1"/>
      <c r="K48" s="1"/>
      <c r="L48" s="447"/>
    </row>
    <row r="49" spans="1:12" x14ac:dyDescent="0.25">
      <c r="A49" s="445"/>
      <c r="B49" s="302"/>
      <c r="C49" s="1" t="s">
        <v>110</v>
      </c>
      <c r="D49" s="1" t="s">
        <v>241</v>
      </c>
      <c r="E49" s="1"/>
      <c r="F49" s="302"/>
      <c r="G49" s="1" t="s">
        <v>110</v>
      </c>
      <c r="H49" s="1" t="s">
        <v>241</v>
      </c>
      <c r="I49" s="1"/>
      <c r="J49" s="1"/>
      <c r="K49" s="1"/>
      <c r="L49" s="447"/>
    </row>
    <row r="50" spans="1:12" x14ac:dyDescent="0.25">
      <c r="A50" s="445"/>
      <c r="B50" s="302"/>
      <c r="C50" s="100" t="s">
        <v>110</v>
      </c>
      <c r="D50" s="43" t="s">
        <v>242</v>
      </c>
      <c r="E50" s="1"/>
      <c r="F50" s="302"/>
      <c r="G50" s="100" t="s">
        <v>110</v>
      </c>
      <c r="H50" s="43" t="s">
        <v>242</v>
      </c>
      <c r="I50" s="1"/>
      <c r="J50" s="1"/>
      <c r="K50" s="1"/>
      <c r="L50" s="447"/>
    </row>
    <row r="51" spans="1:12" ht="18" x14ac:dyDescent="0.35">
      <c r="A51" s="455" t="s">
        <v>230</v>
      </c>
      <c r="B51" s="301" t="str">
        <f>IF(SUM(B45:B50)=0,"",SUM(B45:B50))</f>
        <v/>
      </c>
      <c r="C51" s="1" t="s">
        <v>110</v>
      </c>
      <c r="D51" s="446" t="s">
        <v>226</v>
      </c>
      <c r="E51" s="1"/>
      <c r="F51" s="301" t="str">
        <f>IF(SUM(F45:F50)=0,"",SUM(F45:F50))</f>
        <v/>
      </c>
      <c r="G51" s="1" t="s">
        <v>110</v>
      </c>
      <c r="H51" s="446" t="s">
        <v>226</v>
      </c>
      <c r="I51" s="1"/>
      <c r="J51" s="1"/>
      <c r="K51" s="1"/>
      <c r="L51" s="447"/>
    </row>
    <row r="52" spans="1:12" x14ac:dyDescent="0.25">
      <c r="A52" s="452"/>
      <c r="B52" s="79"/>
      <c r="C52" s="1"/>
      <c r="D52" s="1"/>
      <c r="E52" s="1"/>
      <c r="F52" s="79"/>
      <c r="G52" s="1"/>
      <c r="H52" s="1"/>
      <c r="I52" s="1"/>
      <c r="J52" s="1"/>
      <c r="K52" s="1"/>
      <c r="L52" s="447"/>
    </row>
    <row r="53" spans="1:12" x14ac:dyDescent="0.25">
      <c r="A53" s="452"/>
      <c r="B53" s="305" t="s">
        <v>225</v>
      </c>
      <c r="C53" s="1"/>
      <c r="D53" s="1"/>
      <c r="E53" s="1"/>
      <c r="F53" s="305" t="s">
        <v>225</v>
      </c>
      <c r="G53" s="1"/>
      <c r="H53" s="1"/>
      <c r="I53" s="1"/>
      <c r="J53" s="1"/>
      <c r="K53" s="1"/>
      <c r="L53" s="447"/>
    </row>
    <row r="54" spans="1:12" x14ac:dyDescent="0.25">
      <c r="A54" s="452"/>
      <c r="B54" s="368"/>
      <c r="C54" s="1" t="s">
        <v>110</v>
      </c>
      <c r="D54" s="1" t="s">
        <v>292</v>
      </c>
      <c r="E54" s="1"/>
      <c r="F54" s="368"/>
      <c r="G54" s="1" t="s">
        <v>110</v>
      </c>
      <c r="H54" s="1" t="s">
        <v>292</v>
      </c>
      <c r="I54" s="1"/>
      <c r="J54" s="1"/>
      <c r="K54" s="1"/>
      <c r="L54" s="447"/>
    </row>
    <row r="55" spans="1:12" x14ac:dyDescent="0.25">
      <c r="A55" s="452"/>
      <c r="B55" s="368"/>
      <c r="C55" s="1" t="s">
        <v>110</v>
      </c>
      <c r="D55" s="1" t="s">
        <v>286</v>
      </c>
      <c r="E55" s="1"/>
      <c r="F55" s="368"/>
      <c r="G55" s="1" t="s">
        <v>110</v>
      </c>
      <c r="H55" s="1" t="s">
        <v>286</v>
      </c>
      <c r="I55" s="1"/>
      <c r="J55" s="1"/>
      <c r="K55" s="1"/>
      <c r="L55" s="447"/>
    </row>
    <row r="56" spans="1:12" x14ac:dyDescent="0.25">
      <c r="A56" s="452"/>
      <c r="B56" s="302"/>
      <c r="C56" s="1" t="s">
        <v>110</v>
      </c>
      <c r="D56" s="1" t="s">
        <v>227</v>
      </c>
      <c r="E56" s="1"/>
      <c r="F56" s="302"/>
      <c r="G56" s="1" t="s">
        <v>110</v>
      </c>
      <c r="H56" s="1" t="s">
        <v>227</v>
      </c>
      <c r="I56" s="1"/>
      <c r="J56" s="1"/>
      <c r="K56" s="1"/>
      <c r="L56" s="447"/>
    </row>
    <row r="57" spans="1:12" x14ac:dyDescent="0.25">
      <c r="A57" s="452"/>
      <c r="B57" s="302"/>
      <c r="C57" s="100" t="s">
        <v>110</v>
      </c>
      <c r="D57" s="43" t="s">
        <v>228</v>
      </c>
      <c r="E57" s="1"/>
      <c r="F57" s="302"/>
      <c r="G57" s="100" t="s">
        <v>110</v>
      </c>
      <c r="H57" s="43" t="s">
        <v>228</v>
      </c>
      <c r="I57" s="1"/>
      <c r="J57" s="1"/>
      <c r="K57" s="1"/>
      <c r="L57" s="447"/>
    </row>
    <row r="58" spans="1:12" ht="18" x14ac:dyDescent="0.35">
      <c r="A58" s="455" t="s">
        <v>231</v>
      </c>
      <c r="B58" s="301" t="str">
        <f>IF(SUM(B54:B57)=0,"",SUM(B54:B57))</f>
        <v/>
      </c>
      <c r="C58" s="1" t="s">
        <v>110</v>
      </c>
      <c r="D58" s="446" t="s">
        <v>235</v>
      </c>
      <c r="E58" s="1"/>
      <c r="F58" s="301" t="str">
        <f>IF(SUM(F54:F57)=0,"",SUM(F54:F57))</f>
        <v/>
      </c>
      <c r="G58" s="1" t="s">
        <v>110</v>
      </c>
      <c r="H58" s="446" t="s">
        <v>235</v>
      </c>
      <c r="I58" s="1"/>
      <c r="J58" s="1"/>
      <c r="K58" s="1"/>
      <c r="L58" s="447"/>
    </row>
    <row r="59" spans="1:12" x14ac:dyDescent="0.25">
      <c r="A59" s="452"/>
      <c r="B59" s="79"/>
      <c r="C59" s="1"/>
      <c r="D59" s="1"/>
      <c r="E59" s="1"/>
      <c r="F59" s="79"/>
      <c r="G59" s="1"/>
      <c r="H59" s="1"/>
      <c r="I59" s="1"/>
      <c r="J59" s="1"/>
      <c r="K59" s="1"/>
      <c r="L59" s="447"/>
    </row>
    <row r="60" spans="1:12" ht="18" x14ac:dyDescent="0.35">
      <c r="A60" s="456" t="s">
        <v>232</v>
      </c>
      <c r="B60" s="369" t="str">
        <f>IF(B51="","",(B51-B58)/B51)</f>
        <v/>
      </c>
      <c r="C60" s="1"/>
      <c r="D60" s="446" t="s">
        <v>229</v>
      </c>
      <c r="E60" s="1"/>
      <c r="F60" s="369" t="str">
        <f>IF(F51="","",(F51-F58)/F51)</f>
        <v/>
      </c>
      <c r="G60" s="1"/>
      <c r="H60" s="446" t="s">
        <v>229</v>
      </c>
      <c r="I60" s="1"/>
      <c r="J60" s="1"/>
      <c r="K60" s="1"/>
      <c r="L60" s="447"/>
    </row>
    <row r="61" spans="1:12" ht="18.75" thickBot="1" x14ac:dyDescent="0.4">
      <c r="A61" s="445"/>
      <c r="B61" s="414">
        <f>'Multifamily Calculations'!P20</f>
        <v>0</v>
      </c>
      <c r="C61" s="1" t="s">
        <v>6</v>
      </c>
      <c r="D61" s="446" t="s">
        <v>272</v>
      </c>
      <c r="E61" s="1"/>
      <c r="F61" s="414">
        <f>'Multifamily Calculations'!S20</f>
        <v>0</v>
      </c>
      <c r="G61" s="1" t="s">
        <v>6</v>
      </c>
      <c r="H61" s="446" t="s">
        <v>272</v>
      </c>
      <c r="I61" s="1"/>
      <c r="J61" s="1"/>
      <c r="K61" s="1"/>
      <c r="L61" s="447"/>
    </row>
    <row r="62" spans="1:12" ht="19.5" thickTop="1" thickBot="1" x14ac:dyDescent="0.4">
      <c r="A62" s="445"/>
      <c r="B62" s="415" t="str">
        <f>IFERROR(B60*B61,"")</f>
        <v/>
      </c>
      <c r="C62" s="446" t="s">
        <v>6</v>
      </c>
      <c r="D62" s="446" t="s">
        <v>233</v>
      </c>
      <c r="E62" s="1"/>
      <c r="F62" s="415" t="str">
        <f>IFERROR(F60*F61,"")</f>
        <v/>
      </c>
      <c r="G62" s="446" t="s">
        <v>6</v>
      </c>
      <c r="H62" s="446" t="s">
        <v>233</v>
      </c>
      <c r="I62" s="1"/>
      <c r="J62" s="1"/>
      <c r="K62" s="1"/>
      <c r="L62" s="447"/>
    </row>
    <row r="63" spans="1:12" ht="16.5" thickTop="1" thickBot="1" x14ac:dyDescent="0.3">
      <c r="A63" s="743"/>
      <c r="B63" s="744"/>
      <c r="C63" s="745"/>
      <c r="D63" s="745"/>
      <c r="E63" s="745"/>
      <c r="F63" s="744"/>
      <c r="G63" s="745"/>
      <c r="H63" s="745"/>
      <c r="I63" s="745"/>
      <c r="J63" s="745"/>
      <c r="K63" s="745"/>
      <c r="L63" s="746"/>
    </row>
    <row r="64" spans="1:12" ht="18.75" thickTop="1" x14ac:dyDescent="0.35">
      <c r="A64" s="308" t="s">
        <v>234</v>
      </c>
    </row>
    <row r="65" spans="3:4" x14ac:dyDescent="0.25">
      <c r="C65" s="343" t="s">
        <v>275</v>
      </c>
      <c r="D65" s="342" t="s">
        <v>276</v>
      </c>
    </row>
    <row r="66" spans="3:4" x14ac:dyDescent="0.25">
      <c r="D66" s="340" t="s">
        <v>277</v>
      </c>
    </row>
    <row r="67" spans="3:4" x14ac:dyDescent="0.25">
      <c r="D67" s="341" t="s">
        <v>311</v>
      </c>
    </row>
  </sheetData>
  <sheetProtection algorithmName="SHA-512" hashValue="vNnDAyUGOhDTrtGG+kBUNfeqQWL66hIKUBpMXmpiArxyaCFhf1dZ1Fb2i6ut0UcJHtTY6P+rGT8uVh5xKAuVWA==" saltValue="czpurv+5RApfvhgscbj0zg==" spinCount="100000" sheet="1" objects="1" scenarios="1" selectLockedCells="1"/>
  <mergeCells count="21">
    <mergeCell ref="A1:D1"/>
    <mergeCell ref="A7:B12"/>
    <mergeCell ref="C18:D18"/>
    <mergeCell ref="G18:H18"/>
    <mergeCell ref="K18:L18"/>
    <mergeCell ref="B16:L16"/>
    <mergeCell ref="B17:L17"/>
    <mergeCell ref="G9:J9"/>
    <mergeCell ref="C2:D2"/>
    <mergeCell ref="A2:B2"/>
    <mergeCell ref="C9:F9"/>
    <mergeCell ref="A63:L63"/>
    <mergeCell ref="G19:H19"/>
    <mergeCell ref="K19:L19"/>
    <mergeCell ref="C43:D43"/>
    <mergeCell ref="G43:H43"/>
    <mergeCell ref="C42:D42"/>
    <mergeCell ref="G42:H42"/>
    <mergeCell ref="H36:I36"/>
    <mergeCell ref="C19:D19"/>
    <mergeCell ref="A40:L40"/>
  </mergeCells>
  <printOptions horizontalCentered="1" verticalCentered="1"/>
  <pageMargins left="0" right="0" top="0" bottom="0" header="0.3" footer="0.3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57"/>
  <sheetViews>
    <sheetView zoomScaleNormal="100" workbookViewId="0">
      <selection activeCell="G1" sqref="G1:I1"/>
    </sheetView>
  </sheetViews>
  <sheetFormatPr defaultRowHeight="15" x14ac:dyDescent="0.25"/>
  <cols>
    <col min="2" max="2" width="30.85546875" customWidth="1"/>
    <col min="3" max="3" width="7.5703125" customWidth="1"/>
    <col min="4" max="5" width="2.7109375" customWidth="1"/>
    <col min="8" max="8" width="3.5703125" customWidth="1"/>
    <col min="9" max="9" width="9.42578125" customWidth="1"/>
    <col min="11" max="11" width="2.5703125" customWidth="1"/>
    <col min="12" max="12" width="10.140625" customWidth="1"/>
    <col min="14" max="14" width="3.28515625" customWidth="1"/>
    <col min="15" max="15" width="9.85546875" customWidth="1"/>
    <col min="17" max="17" width="3.7109375" customWidth="1"/>
    <col min="18" max="18" width="10.140625" customWidth="1"/>
  </cols>
  <sheetData>
    <row r="1" spans="1:19" x14ac:dyDescent="0.25">
      <c r="G1" s="771" t="s">
        <v>281</v>
      </c>
      <c r="H1" s="771"/>
      <c r="I1" s="771"/>
    </row>
    <row r="2" spans="1:19" x14ac:dyDescent="0.25">
      <c r="A2" s="1"/>
      <c r="B2" s="344" t="s">
        <v>278</v>
      </c>
      <c r="C2" s="345" t="s">
        <v>279</v>
      </c>
      <c r="F2" s="772" t="s">
        <v>303</v>
      </c>
      <c r="G2" s="772"/>
      <c r="H2" s="412">
        <f>'Multifamily Ventilation'!G24</f>
        <v>0</v>
      </c>
    </row>
    <row r="3" spans="1:19" x14ac:dyDescent="0.25">
      <c r="C3" s="346" t="s">
        <v>280</v>
      </c>
    </row>
    <row r="4" spans="1:19" x14ac:dyDescent="0.25">
      <c r="C4" s="348">
        <v>2</v>
      </c>
      <c r="F4" s="770" t="s">
        <v>259</v>
      </c>
      <c r="G4" s="770"/>
      <c r="H4" s="43"/>
      <c r="I4" s="770" t="s">
        <v>262</v>
      </c>
      <c r="J4" s="770"/>
      <c r="K4" s="43"/>
      <c r="L4" s="770" t="s">
        <v>263</v>
      </c>
      <c r="M4" s="770"/>
      <c r="N4" s="43"/>
      <c r="O4" s="770" t="s">
        <v>264</v>
      </c>
      <c r="P4" s="770"/>
      <c r="Q4" s="43"/>
      <c r="R4" s="770" t="s">
        <v>285</v>
      </c>
      <c r="S4" s="770"/>
    </row>
    <row r="6" spans="1:19" ht="18" x14ac:dyDescent="0.25">
      <c r="B6" s="329" t="s">
        <v>248</v>
      </c>
      <c r="D6" s="78"/>
      <c r="F6" t="s">
        <v>131</v>
      </c>
      <c r="G6" s="333">
        <f>IF(C4=2,0,'Multifamily Ventilation'!I38)</f>
        <v>0</v>
      </c>
      <c r="I6" t="s">
        <v>131</v>
      </c>
      <c r="J6" s="333">
        <f>IF(C4=2,0,'Multifamily Ventilation'!I48)</f>
        <v>0</v>
      </c>
      <c r="L6" t="s">
        <v>131</v>
      </c>
      <c r="M6" s="333">
        <f>IF(C4=2,0,'Multifamily Ventilation'!I58)</f>
        <v>0</v>
      </c>
      <c r="O6" t="s">
        <v>131</v>
      </c>
      <c r="P6" s="333">
        <f>IF(C4=2,0,'Multifamily Ventilation'!I68)</f>
        <v>0</v>
      </c>
      <c r="R6" t="s">
        <v>131</v>
      </c>
      <c r="S6" s="333">
        <f>IF(C4=2,0,'Multifamily Ventilation'!I78)</f>
        <v>0</v>
      </c>
    </row>
    <row r="7" spans="1:19" x14ac:dyDescent="0.25">
      <c r="B7" s="329"/>
    </row>
    <row r="8" spans="1:19" x14ac:dyDescent="0.25">
      <c r="B8" s="329" t="s">
        <v>249</v>
      </c>
      <c r="F8" s="307" t="s">
        <v>253</v>
      </c>
      <c r="G8" s="335">
        <f>G6*0.055/144</f>
        <v>0</v>
      </c>
      <c r="I8" s="307" t="s">
        <v>253</v>
      </c>
      <c r="J8" s="335">
        <f>J6*0.055/144</f>
        <v>0</v>
      </c>
      <c r="L8" s="307" t="s">
        <v>253</v>
      </c>
      <c r="M8" s="335">
        <f>M6*0.055/144</f>
        <v>0</v>
      </c>
      <c r="O8" s="307" t="s">
        <v>253</v>
      </c>
      <c r="P8" s="335">
        <f>P6*0.055/144</f>
        <v>0</v>
      </c>
      <c r="R8" s="307" t="s">
        <v>253</v>
      </c>
      <c r="S8" s="335">
        <f>S6*0.055/144</f>
        <v>0</v>
      </c>
    </row>
    <row r="9" spans="1:19" x14ac:dyDescent="0.25">
      <c r="B9" s="329"/>
    </row>
    <row r="10" spans="1:19" ht="18" x14ac:dyDescent="0.35">
      <c r="B10" s="329"/>
      <c r="F10" s="307" t="s">
        <v>260</v>
      </c>
      <c r="G10" s="334">
        <f>'Multifamily Ventilation'!G36</f>
        <v>0</v>
      </c>
      <c r="I10" s="307" t="s">
        <v>260</v>
      </c>
      <c r="J10" s="334">
        <f>'Multifamily Ventilation'!G46</f>
        <v>0</v>
      </c>
      <c r="L10" s="307" t="s">
        <v>260</v>
      </c>
      <c r="M10" s="334">
        <f>'Multifamily Ventilation'!G56</f>
        <v>0</v>
      </c>
      <c r="O10" s="307" t="s">
        <v>260</v>
      </c>
      <c r="P10" s="334">
        <f>'Multifamily Ventilation'!G66</f>
        <v>0</v>
      </c>
      <c r="R10" s="307" t="s">
        <v>260</v>
      </c>
      <c r="S10" s="334">
        <f>'Multifamily Ventilation'!G76</f>
        <v>0</v>
      </c>
    </row>
    <row r="11" spans="1:19" ht="18" x14ac:dyDescent="0.35">
      <c r="F11" s="307" t="s">
        <v>254</v>
      </c>
      <c r="G11" s="331">
        <f>'Multifamily Ventilation'!G35</f>
        <v>0</v>
      </c>
      <c r="I11" s="307" t="s">
        <v>254</v>
      </c>
      <c r="J11" s="331">
        <f>'Multifamily Ventilation'!G45</f>
        <v>0</v>
      </c>
      <c r="L11" s="307" t="s">
        <v>254</v>
      </c>
      <c r="M11" s="331">
        <f>'Multifamily Ventilation'!G55</f>
        <v>0</v>
      </c>
      <c r="O11" s="307" t="s">
        <v>254</v>
      </c>
      <c r="P11" s="331">
        <f>'Multifamily Ventilation'!G65</f>
        <v>0</v>
      </c>
      <c r="R11" s="307" t="s">
        <v>254</v>
      </c>
      <c r="S11" s="331">
        <f>'Multifamily Ventilation'!G75</f>
        <v>0</v>
      </c>
    </row>
    <row r="12" spans="1:19" x14ac:dyDescent="0.25">
      <c r="F12" s="307" t="s">
        <v>13</v>
      </c>
      <c r="G12" s="333">
        <f>'Multifamily Ventilation'!G37</f>
        <v>0</v>
      </c>
      <c r="I12" s="307" t="s">
        <v>13</v>
      </c>
      <c r="J12" s="333">
        <f>'Multifamily Ventilation'!G47</f>
        <v>0</v>
      </c>
      <c r="L12" s="307" t="s">
        <v>13</v>
      </c>
      <c r="M12" s="333">
        <f>'Multifamily Ventilation'!G57</f>
        <v>0</v>
      </c>
      <c r="O12" s="307" t="s">
        <v>13</v>
      </c>
      <c r="P12" s="333">
        <f>'Multifamily Ventilation'!G67</f>
        <v>0</v>
      </c>
      <c r="R12" s="307" t="s">
        <v>13</v>
      </c>
      <c r="S12" s="333">
        <f>'Multifamily Ventilation'!G77</f>
        <v>0</v>
      </c>
    </row>
    <row r="13" spans="1:19" x14ac:dyDescent="0.25">
      <c r="F13" s="307" t="s">
        <v>267</v>
      </c>
      <c r="G13" s="333">
        <f>'Multifamily Ventilation'!G38</f>
        <v>0</v>
      </c>
      <c r="I13" s="307"/>
      <c r="J13" s="333">
        <f>'Multifamily Ventilation'!G48</f>
        <v>0</v>
      </c>
      <c r="L13" s="307"/>
      <c r="M13" s="333">
        <f>'Multifamily Ventilation'!G58</f>
        <v>0</v>
      </c>
      <c r="O13" s="307"/>
      <c r="P13" s="333">
        <f>'Multifamily Ventilation'!G68</f>
        <v>0</v>
      </c>
      <c r="R13" s="307"/>
      <c r="S13" s="333">
        <f>'Multifamily Ventilation'!G78</f>
        <v>0</v>
      </c>
    </row>
    <row r="14" spans="1:19" ht="18" x14ac:dyDescent="0.35">
      <c r="F14" s="307" t="s">
        <v>255</v>
      </c>
      <c r="G14" s="336">
        <v>8.1999999999999993</v>
      </c>
      <c r="I14" s="307" t="s">
        <v>255</v>
      </c>
      <c r="J14" s="336">
        <v>8.1999999999999993</v>
      </c>
      <c r="L14" s="307" t="s">
        <v>255</v>
      </c>
      <c r="M14" s="336">
        <v>8.1999999999999993</v>
      </c>
      <c r="O14" s="307" t="s">
        <v>255</v>
      </c>
      <c r="P14" s="336">
        <v>8.1999999999999993</v>
      </c>
      <c r="R14" s="307" t="s">
        <v>255</v>
      </c>
      <c r="S14" s="336">
        <v>8.1999999999999993</v>
      </c>
    </row>
    <row r="16" spans="1:19" ht="18" x14ac:dyDescent="0.25">
      <c r="B16" s="329" t="s">
        <v>268</v>
      </c>
      <c r="F16" s="330" t="s">
        <v>4</v>
      </c>
      <c r="G16" s="335">
        <f>IF(G6=0,0,1000*G8/G11*(G12*G13/G14)^0.4)</f>
        <v>0</v>
      </c>
      <c r="I16" s="330" t="s">
        <v>4</v>
      </c>
      <c r="J16" s="335">
        <f>IF(J6=0,0,1000*J8/J11*(J12*J13/J14)^0.4)</f>
        <v>0</v>
      </c>
      <c r="L16" s="330" t="s">
        <v>4</v>
      </c>
      <c r="M16" s="335">
        <f>IF(M6=0,0,1000*M8/M11*(M12*M13/M14)^0.4)</f>
        <v>0</v>
      </c>
      <c r="O16" s="330" t="s">
        <v>4</v>
      </c>
      <c r="P16" s="335">
        <f>IF(P6=0,0,1000*P8/P11*(P12*P13/P14)^0.4)</f>
        <v>0</v>
      </c>
      <c r="R16" s="330" t="s">
        <v>4</v>
      </c>
      <c r="S16" s="335">
        <f>IF(S6=0,0,1000*S8/S11*(S12*S13/S14)^0.4)</f>
        <v>0</v>
      </c>
    </row>
    <row r="17" spans="2:19" x14ac:dyDescent="0.25">
      <c r="B17" s="329"/>
    </row>
    <row r="18" spans="2:19" x14ac:dyDescent="0.25">
      <c r="F18" s="330" t="s">
        <v>16</v>
      </c>
      <c r="G18" s="331">
        <f>LOOKUP('Multifamily Ventilation'!G23,MF_Stations,C34:C57)</f>
        <v>0.57999999999999996</v>
      </c>
      <c r="I18" s="330" t="s">
        <v>16</v>
      </c>
      <c r="J18" s="331">
        <f>LOOKUP('Multifamily Ventilation'!G23,MF_Stations,C34:C57)</f>
        <v>0.57999999999999996</v>
      </c>
      <c r="L18" s="330" t="s">
        <v>16</v>
      </c>
      <c r="M18" s="331">
        <f>LOOKUP('Multifamily Ventilation'!G23,MF_Stations,C34:C57)</f>
        <v>0.57999999999999996</v>
      </c>
      <c r="O18" s="330" t="s">
        <v>16</v>
      </c>
      <c r="P18" s="331">
        <f>LOOKUP('Multifamily Ventilation'!G23,MF_Stations,C34:C57)</f>
        <v>0.57999999999999996</v>
      </c>
      <c r="R18" s="330" t="s">
        <v>16</v>
      </c>
      <c r="S18" s="331">
        <f>LOOKUP('Multifamily Ventilation'!G23,MF_Stations,C34:C57)</f>
        <v>0.57999999999999996</v>
      </c>
    </row>
    <row r="20" spans="2:19" ht="18" x14ac:dyDescent="0.35">
      <c r="B20" s="329" t="s">
        <v>250</v>
      </c>
      <c r="F20" s="307" t="s">
        <v>256</v>
      </c>
      <c r="G20" s="337">
        <f>IF(G16="","",G16*G18*G11/7.3)</f>
        <v>0</v>
      </c>
      <c r="I20" s="307" t="s">
        <v>256</v>
      </c>
      <c r="J20" s="337">
        <f>IF(J16="","",J16*J18*J11/7.3)</f>
        <v>0</v>
      </c>
      <c r="L20" s="307" t="s">
        <v>256</v>
      </c>
      <c r="M20" s="337">
        <f>M16*M18*M11/7.3</f>
        <v>0</v>
      </c>
      <c r="O20" s="307" t="s">
        <v>256</v>
      </c>
      <c r="P20" s="337">
        <f>P16*P18*P11/7.3</f>
        <v>0</v>
      </c>
      <c r="R20" s="307" t="s">
        <v>256</v>
      </c>
      <c r="S20" s="337">
        <f>S16*S18*S11/7.3</f>
        <v>0</v>
      </c>
    </row>
    <row r="21" spans="2:19" ht="18" x14ac:dyDescent="0.25">
      <c r="B21" s="329" t="s">
        <v>282</v>
      </c>
      <c r="F21" s="307"/>
      <c r="G21" s="337">
        <f>IF($C$4=1,G20,0)</f>
        <v>0</v>
      </c>
      <c r="I21" s="307"/>
      <c r="J21" s="337">
        <f>IF($C$4=1,J20,0)</f>
        <v>0</v>
      </c>
      <c r="L21" s="307"/>
      <c r="M21" s="337">
        <f>IF($C$4=1,M20,0)</f>
        <v>0</v>
      </c>
      <c r="O21" s="307"/>
      <c r="P21" s="337">
        <f>IF($C$4=1,P20,0)</f>
        <v>0</v>
      </c>
      <c r="R21" s="307"/>
      <c r="S21" s="337">
        <f>IF($C$4=1,S20,0)</f>
        <v>0</v>
      </c>
    </row>
    <row r="22" spans="2:19" x14ac:dyDescent="0.25">
      <c r="B22" s="329"/>
      <c r="F22" s="307"/>
      <c r="I22" s="307"/>
      <c r="L22" s="307"/>
      <c r="O22" s="307"/>
      <c r="R22" s="307"/>
    </row>
    <row r="23" spans="2:19" ht="18" x14ac:dyDescent="0.35">
      <c r="B23" s="329" t="s">
        <v>251</v>
      </c>
      <c r="F23" s="307" t="s">
        <v>257</v>
      </c>
      <c r="G23" s="336">
        <f>0.03*G11+7.5*(G10+1)</f>
        <v>7.5</v>
      </c>
      <c r="I23" s="307" t="s">
        <v>257</v>
      </c>
      <c r="J23" s="336">
        <f>0.03*J11+7.5*(J10+1)</f>
        <v>7.5</v>
      </c>
      <c r="L23" s="307" t="s">
        <v>257</v>
      </c>
      <c r="M23" s="336">
        <f>0.03*M11+7.5*(M10+1)</f>
        <v>7.5</v>
      </c>
      <c r="O23" s="307" t="s">
        <v>257</v>
      </c>
      <c r="P23" s="336">
        <f>0.03*P11+7.5*(P10+1)</f>
        <v>7.5</v>
      </c>
      <c r="R23" s="307" t="s">
        <v>257</v>
      </c>
      <c r="S23" s="336">
        <f>0.03*S11+7.5*(S10+1)</f>
        <v>7.5</v>
      </c>
    </row>
    <row r="24" spans="2:19" x14ac:dyDescent="0.25">
      <c r="B24" s="329"/>
      <c r="F24" s="307"/>
      <c r="G24" s="79"/>
      <c r="I24" s="307"/>
      <c r="J24" s="79"/>
      <c r="L24" s="307"/>
      <c r="M24" s="79"/>
      <c r="O24" s="307"/>
      <c r="P24" s="79"/>
      <c r="R24" s="307"/>
      <c r="S24" s="79"/>
    </row>
    <row r="25" spans="2:19" ht="18" x14ac:dyDescent="0.35">
      <c r="B25" s="329" t="s">
        <v>273</v>
      </c>
      <c r="F25" s="307" t="s">
        <v>274</v>
      </c>
      <c r="G25" s="336" t="str">
        <f>IF(G23=7.5,"",G23-'Multifamily Ventilation'!G39)</f>
        <v/>
      </c>
      <c r="I25" s="307" t="s">
        <v>274</v>
      </c>
      <c r="J25" s="336" t="str">
        <f>IF(J23=7.5,"",J23-'Multifamily Ventilation'!G49)</f>
        <v/>
      </c>
      <c r="L25" s="307" t="s">
        <v>274</v>
      </c>
      <c r="M25" s="336" t="str">
        <f>IF(M23=7.5,"",M23-'Multifamily Ventilation'!G59)</f>
        <v/>
      </c>
      <c r="O25" s="307" t="s">
        <v>274</v>
      </c>
      <c r="P25" s="336" t="str">
        <f>IF(P23=7.5,"",P23-'Multifamily Ventilation'!G69)</f>
        <v/>
      </c>
      <c r="R25" s="307" t="s">
        <v>274</v>
      </c>
      <c r="S25" s="336" t="str">
        <f>IF(S23=7.5,"",S23-'Multifamily Ventilation'!G79)</f>
        <v/>
      </c>
    </row>
    <row r="26" spans="2:19" x14ac:dyDescent="0.25">
      <c r="B26" s="329"/>
      <c r="F26" s="307"/>
      <c r="I26" s="307"/>
      <c r="L26" s="307"/>
      <c r="O26" s="307"/>
      <c r="R26" s="307"/>
    </row>
    <row r="27" spans="2:19" ht="18" x14ac:dyDescent="0.35">
      <c r="B27" s="329"/>
      <c r="F27" s="307" t="s">
        <v>261</v>
      </c>
      <c r="G27" s="332" t="str">
        <f>'MF Infiltration Credit Wrks'!B36</f>
        <v/>
      </c>
      <c r="I27" s="307" t="s">
        <v>261</v>
      </c>
      <c r="J27" s="332" t="str">
        <f>'MF Infiltration Credit Wrks'!F36</f>
        <v/>
      </c>
      <c r="L27" s="307" t="s">
        <v>261</v>
      </c>
      <c r="M27" s="332" t="str">
        <f>'MF Infiltration Credit Wrks'!J36</f>
        <v/>
      </c>
      <c r="O27" s="307" t="s">
        <v>261</v>
      </c>
      <c r="P27" s="332" t="str">
        <f>'MF Infiltration Credit Wrks'!B60</f>
        <v/>
      </c>
      <c r="R27" s="307" t="s">
        <v>261</v>
      </c>
      <c r="S27" s="332" t="str">
        <f>'MF Infiltration Credit Wrks'!F60</f>
        <v/>
      </c>
    </row>
    <row r="28" spans="2:19" x14ac:dyDescent="0.25">
      <c r="B28" s="329"/>
      <c r="F28" s="307"/>
      <c r="I28" s="307"/>
      <c r="L28" s="307"/>
      <c r="O28" s="307"/>
      <c r="R28" s="307"/>
    </row>
    <row r="29" spans="2:19" ht="18" x14ac:dyDescent="0.35">
      <c r="B29" s="329" t="s">
        <v>252</v>
      </c>
      <c r="F29" s="307" t="s">
        <v>258</v>
      </c>
      <c r="G29" s="337" t="str">
        <f>IF(G6=0,G25,G25-(G21*G27))</f>
        <v/>
      </c>
      <c r="I29" s="307" t="s">
        <v>258</v>
      </c>
      <c r="J29" s="337" t="str">
        <f>IF(J6=0,J25,J25-(J21*J27))</f>
        <v/>
      </c>
      <c r="L29" s="307" t="s">
        <v>258</v>
      </c>
      <c r="M29" s="337" t="str">
        <f>IF(M6=0,M25,M25-(M21*M27))</f>
        <v/>
      </c>
      <c r="O29" s="307" t="s">
        <v>258</v>
      </c>
      <c r="P29" s="337" t="str">
        <f>IF(P21=0,P25,P25-(P21*P27))</f>
        <v/>
      </c>
      <c r="R29" s="307" t="s">
        <v>258</v>
      </c>
      <c r="S29" s="337" t="str">
        <f>IF(S21=0,S25,S25-(S21*S27))</f>
        <v/>
      </c>
    </row>
    <row r="30" spans="2:19" x14ac:dyDescent="0.25">
      <c r="F30" s="307"/>
    </row>
    <row r="32" spans="2:19" x14ac:dyDescent="0.25">
      <c r="B32" s="7" t="s">
        <v>271</v>
      </c>
      <c r="C32" s="7"/>
    </row>
    <row r="33" spans="2:3" x14ac:dyDescent="0.25">
      <c r="B33" s="36" t="s">
        <v>18</v>
      </c>
      <c r="C33" s="36" t="s">
        <v>19</v>
      </c>
    </row>
    <row r="34" spans="2:3" x14ac:dyDescent="0.25">
      <c r="B34" s="25" t="s">
        <v>69</v>
      </c>
      <c r="C34" s="45">
        <v>0.59</v>
      </c>
    </row>
    <row r="35" spans="2:3" x14ac:dyDescent="0.25">
      <c r="B35" s="25" t="s">
        <v>70</v>
      </c>
      <c r="C35" s="45">
        <v>0.61</v>
      </c>
    </row>
    <row r="36" spans="2:3" x14ac:dyDescent="0.25">
      <c r="B36" s="25" t="s">
        <v>71</v>
      </c>
      <c r="C36" s="45">
        <v>0.61</v>
      </c>
    </row>
    <row r="37" spans="2:3" x14ac:dyDescent="0.25">
      <c r="B37" s="25" t="s">
        <v>72</v>
      </c>
      <c r="C37" s="45">
        <v>0.65</v>
      </c>
    </row>
    <row r="38" spans="2:3" x14ac:dyDescent="0.25">
      <c r="B38" s="25" t="s">
        <v>73</v>
      </c>
      <c r="C38" s="45">
        <v>0.52</v>
      </c>
    </row>
    <row r="39" spans="2:3" x14ac:dyDescent="0.25">
      <c r="B39" s="25" t="s">
        <v>29</v>
      </c>
      <c r="C39" s="45">
        <v>0.61</v>
      </c>
    </row>
    <row r="40" spans="2:3" x14ac:dyDescent="0.25">
      <c r="B40" s="25" t="s">
        <v>74</v>
      </c>
      <c r="C40" s="45">
        <v>0.51</v>
      </c>
    </row>
    <row r="41" spans="2:3" x14ac:dyDescent="0.25">
      <c r="B41" s="25" t="s">
        <v>75</v>
      </c>
      <c r="C41" s="45">
        <v>0.53</v>
      </c>
    </row>
    <row r="42" spans="2:3" x14ac:dyDescent="0.25">
      <c r="B42" s="25" t="s">
        <v>26</v>
      </c>
      <c r="C42" s="45">
        <v>0.56999999999999995</v>
      </c>
    </row>
    <row r="43" spans="2:3" x14ac:dyDescent="0.25">
      <c r="B43" s="25" t="s">
        <v>76</v>
      </c>
      <c r="C43" s="45">
        <v>0.59</v>
      </c>
    </row>
    <row r="44" spans="2:3" x14ac:dyDescent="0.25">
      <c r="B44" s="25" t="s">
        <v>23</v>
      </c>
      <c r="C44" s="45">
        <v>0.51</v>
      </c>
    </row>
    <row r="45" spans="2:3" x14ac:dyDescent="0.25">
      <c r="B45" s="25" t="s">
        <v>27</v>
      </c>
      <c r="C45" s="45">
        <v>0.6</v>
      </c>
    </row>
    <row r="46" spans="2:3" x14ac:dyDescent="0.25">
      <c r="B46" s="25" t="s">
        <v>20</v>
      </c>
      <c r="C46" s="45">
        <v>0.61</v>
      </c>
    </row>
    <row r="47" spans="2:3" x14ac:dyDescent="0.25">
      <c r="B47" s="25" t="s">
        <v>77</v>
      </c>
      <c r="C47" s="45">
        <v>0.56999999999999995</v>
      </c>
    </row>
    <row r="48" spans="2:3" x14ac:dyDescent="0.25">
      <c r="B48" s="25" t="s">
        <v>78</v>
      </c>
      <c r="C48" s="45">
        <v>0.57999999999999996</v>
      </c>
    </row>
    <row r="49" spans="2:3" x14ac:dyDescent="0.25">
      <c r="B49" s="25" t="s">
        <v>79</v>
      </c>
      <c r="C49" s="45">
        <v>0.49</v>
      </c>
    </row>
    <row r="50" spans="2:3" x14ac:dyDescent="0.25">
      <c r="B50" s="25" t="s">
        <v>30</v>
      </c>
      <c r="C50" s="45">
        <v>0.53</v>
      </c>
    </row>
    <row r="51" spans="2:3" x14ac:dyDescent="0.25">
      <c r="B51" s="25" t="s">
        <v>80</v>
      </c>
      <c r="C51" s="45">
        <v>0.56999999999999995</v>
      </c>
    </row>
    <row r="52" spans="2:3" x14ac:dyDescent="0.25">
      <c r="B52" s="25" t="s">
        <v>22</v>
      </c>
      <c r="C52" s="45">
        <v>0.56000000000000005</v>
      </c>
    </row>
    <row r="53" spans="2:3" x14ac:dyDescent="0.25">
      <c r="B53" s="25" t="s">
        <v>82</v>
      </c>
      <c r="C53" s="45">
        <v>0.55000000000000004</v>
      </c>
    </row>
    <row r="54" spans="2:3" x14ac:dyDescent="0.25">
      <c r="B54" s="25" t="s">
        <v>83</v>
      </c>
      <c r="C54" s="45">
        <v>0.53</v>
      </c>
    </row>
    <row r="55" spans="2:3" x14ac:dyDescent="0.25">
      <c r="B55" s="25" t="s">
        <v>84</v>
      </c>
      <c r="C55" s="45">
        <v>0.56999999999999995</v>
      </c>
    </row>
    <row r="56" spans="2:3" x14ac:dyDescent="0.25">
      <c r="B56" s="25" t="s">
        <v>85</v>
      </c>
      <c r="C56" s="45">
        <v>0.54</v>
      </c>
    </row>
    <row r="57" spans="2:3" x14ac:dyDescent="0.25">
      <c r="B57" s="25" t="s">
        <v>81</v>
      </c>
      <c r="C57" s="45">
        <v>0.51</v>
      </c>
    </row>
  </sheetData>
  <sheetProtection algorithmName="SHA-512" hashValue="1RCgIFkckfxC/S7YZg2Nq9V0uxirgNn2fvVES3b+J/fmZzLssbpr40QYCFR6EcwS1krnBLTMT61dMX/5ABT+qw==" saltValue="f93xawZvV/WuKatGGq/RMQ==" spinCount="100000" sheet="1" selectLockedCells="1" selectUnlockedCells="1"/>
  <mergeCells count="7">
    <mergeCell ref="R4:S4"/>
    <mergeCell ref="G1:I1"/>
    <mergeCell ref="F4:G4"/>
    <mergeCell ref="I4:J4"/>
    <mergeCell ref="L4:M4"/>
    <mergeCell ref="O4:P4"/>
    <mergeCell ref="F2:G2"/>
  </mergeCells>
  <pageMargins left="0" right="0" top="0" bottom="0" header="0.3" footer="0.3"/>
  <pageSetup scale="6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1">
    <tabColor rgb="FFCCFF99"/>
    <pageSetUpPr fitToPage="1"/>
  </sheetPr>
  <dimension ref="B3:P9"/>
  <sheetViews>
    <sheetView showGridLines="0" zoomScaleNormal="100" workbookViewId="0">
      <selection activeCell="G5" sqref="G5"/>
    </sheetView>
  </sheetViews>
  <sheetFormatPr defaultColWidth="11.42578125" defaultRowHeight="15" x14ac:dyDescent="0.25"/>
  <cols>
    <col min="1" max="1" width="2.42578125" customWidth="1"/>
    <col min="2" max="2" width="31" customWidth="1"/>
    <col min="3" max="5" width="9" customWidth="1"/>
    <col min="6" max="6" width="5.5703125" customWidth="1"/>
    <col min="7" max="7" width="9.140625" customWidth="1"/>
    <col min="8" max="8" width="1.7109375" customWidth="1"/>
    <col min="9" max="9" width="11.42578125" customWidth="1"/>
    <col min="10" max="10" width="12.140625" customWidth="1"/>
    <col min="11" max="11" width="8.5703125" customWidth="1"/>
    <col min="12" max="12" width="22.85546875" customWidth="1"/>
    <col min="16" max="16" width="6.7109375" customWidth="1"/>
  </cols>
  <sheetData>
    <row r="3" spans="2:16" ht="27" customHeight="1" x14ac:dyDescent="0.35">
      <c r="B3" s="776" t="s">
        <v>156</v>
      </c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8"/>
    </row>
    <row r="4" spans="2:16" ht="25.5" customHeight="1" thickBot="1" x14ac:dyDescent="0.3">
      <c r="B4" s="779" t="s">
        <v>302</v>
      </c>
      <c r="C4" s="780"/>
      <c r="D4" s="780"/>
      <c r="E4" s="780"/>
      <c r="F4" s="780"/>
      <c r="G4" s="780"/>
      <c r="H4" s="780"/>
      <c r="I4" s="780"/>
      <c r="J4" s="780"/>
      <c r="K4" s="780"/>
      <c r="L4" s="780"/>
      <c r="M4" s="395"/>
      <c r="N4" s="395"/>
      <c r="O4" s="395"/>
      <c r="P4" s="382"/>
    </row>
    <row r="5" spans="2:16" ht="19.5" thickBot="1" x14ac:dyDescent="0.35">
      <c r="B5" s="781" t="s">
        <v>304</v>
      </c>
      <c r="C5" s="773"/>
      <c r="D5" s="773"/>
      <c r="E5" s="773"/>
      <c r="F5" s="782"/>
      <c r="G5" s="139"/>
      <c r="H5" s="383"/>
      <c r="I5" s="784" t="s">
        <v>305</v>
      </c>
      <c r="J5" s="784"/>
      <c r="K5" s="784"/>
      <c r="L5" s="514"/>
      <c r="M5" s="514"/>
      <c r="N5" s="514"/>
      <c r="O5" s="514"/>
      <c r="P5" s="515"/>
    </row>
    <row r="6" spans="2:16" ht="21" thickBot="1" x14ac:dyDescent="0.4">
      <c r="B6" s="394" t="s">
        <v>93</v>
      </c>
      <c r="C6" s="774" t="s">
        <v>301</v>
      </c>
      <c r="D6" s="774"/>
      <c r="E6" s="774"/>
      <c r="F6" s="775"/>
      <c r="G6" s="393"/>
      <c r="H6" s="141"/>
      <c r="I6" s="783" t="s">
        <v>300</v>
      </c>
      <c r="J6" s="783"/>
      <c r="K6" s="783"/>
      <c r="L6" s="783"/>
      <c r="M6" s="384"/>
      <c r="N6" s="384"/>
      <c r="O6" s="384"/>
      <c r="P6" s="385"/>
    </row>
    <row r="7" spans="2:16" ht="19.5" thickBot="1" x14ac:dyDescent="0.35">
      <c r="B7" s="781" t="s">
        <v>96</v>
      </c>
      <c r="C7" s="773"/>
      <c r="D7" s="773"/>
      <c r="E7" s="773"/>
      <c r="F7" s="782"/>
      <c r="G7" s="140" t="str">
        <f>IF(G6&gt;G5, "ERR", IF(G5=0, "N/A", G6/G5*60))</f>
        <v>N/A</v>
      </c>
      <c r="H7" s="141"/>
      <c r="I7" s="384" t="s">
        <v>161</v>
      </c>
      <c r="J7" s="384"/>
      <c r="K7" s="384"/>
      <c r="L7" s="384"/>
      <c r="M7" s="384"/>
      <c r="N7" s="384"/>
      <c r="O7" s="384"/>
      <c r="P7" s="385"/>
    </row>
    <row r="8" spans="2:16" ht="19.5" thickBot="1" x14ac:dyDescent="0.35">
      <c r="B8" s="781" t="s">
        <v>97</v>
      </c>
      <c r="C8" s="773"/>
      <c r="D8" s="773"/>
      <c r="E8" s="773"/>
      <c r="F8" s="782"/>
      <c r="G8" s="140" t="str">
        <f>IF(G7="ERR", "ERR", IF(G5=0, "N/A", G7*24))</f>
        <v>N/A</v>
      </c>
      <c r="H8" s="141"/>
      <c r="I8" s="773" t="s">
        <v>159</v>
      </c>
      <c r="J8" s="773"/>
      <c r="K8" s="773"/>
      <c r="L8" s="384" t="s">
        <v>94</v>
      </c>
      <c r="M8" s="123" t="str">
        <f>IF(G7="ERR", "ERR", IF(G5=0, "N/A", G8/60))</f>
        <v>N/A</v>
      </c>
      <c r="N8" s="384" t="s">
        <v>160</v>
      </c>
      <c r="O8" s="381"/>
      <c r="P8" s="386"/>
    </row>
    <row r="9" spans="2:16" ht="15" customHeight="1" x14ac:dyDescent="0.3">
      <c r="B9" s="387"/>
      <c r="C9" s="388"/>
      <c r="D9" s="388"/>
      <c r="E9" s="388"/>
      <c r="F9" s="388"/>
      <c r="G9" s="389"/>
      <c r="H9" s="389"/>
      <c r="I9" s="390"/>
      <c r="J9" s="390"/>
      <c r="K9" s="390"/>
      <c r="L9" s="390"/>
      <c r="M9" s="391"/>
      <c r="N9" s="390"/>
      <c r="O9" s="388"/>
      <c r="P9" s="392"/>
    </row>
  </sheetData>
  <sheetProtection algorithmName="SHA-512" hashValue="IR5KAGbfZMujwJw1O9k3PZgnQWlhjT3y/G28oUJNI+dJr6KDmBCfSeAl9BIubTI2XZM6gE1o4VcZWGEf/r+xMA==" saltValue="COkzKh3MGLb+Bt5mT6IhCg==" spinCount="100000" sheet="1" objects="1" scenarios="1" selectLockedCells="1"/>
  <mergeCells count="9">
    <mergeCell ref="I8:K8"/>
    <mergeCell ref="C6:F6"/>
    <mergeCell ref="B3:P3"/>
    <mergeCell ref="B4:L4"/>
    <mergeCell ref="B5:F5"/>
    <mergeCell ref="B7:F7"/>
    <mergeCell ref="B8:F8"/>
    <mergeCell ref="I6:L6"/>
    <mergeCell ref="I5:K5"/>
  </mergeCells>
  <phoneticPr fontId="20" type="noConversion"/>
  <pageMargins left="0" right="0" top="0" bottom="0" header="0.3" footer="0.3"/>
  <pageSetup scale="79" orientation="landscape" r:id="rId1"/>
  <headerFooter alignWithMargins="0">
    <oddFooter>&amp;CASHRAE 62.2 2016 Calculator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7" tint="0.59999389629810485"/>
    <pageSetUpPr fitToPage="1"/>
  </sheetPr>
  <dimension ref="A1:P519"/>
  <sheetViews>
    <sheetView showGridLines="0" zoomScaleNormal="100" workbookViewId="0">
      <selection activeCell="B16" sqref="B16"/>
    </sheetView>
  </sheetViews>
  <sheetFormatPr defaultColWidth="11.42578125" defaultRowHeight="15" x14ac:dyDescent="0.25"/>
  <cols>
    <col min="1" max="1" width="1.140625" customWidth="1"/>
    <col min="2" max="2" width="8" customWidth="1"/>
    <col min="3" max="3" width="14.28515625" customWidth="1"/>
    <col min="5" max="5" width="6.85546875" customWidth="1"/>
    <col min="6" max="6" width="10.5703125" customWidth="1"/>
    <col min="7" max="7" width="14.28515625" customWidth="1"/>
    <col min="9" max="9" width="6.85546875" customWidth="1"/>
    <col min="10" max="10" width="14.28515625" customWidth="1"/>
    <col min="12" max="12" width="6.85546875" customWidth="1"/>
    <col min="13" max="13" width="14.28515625" customWidth="1"/>
    <col min="15" max="15" width="6.85546875" customWidth="1"/>
    <col min="16" max="16" width="35.28515625" customWidth="1"/>
  </cols>
  <sheetData>
    <row r="1" spans="1:16" s="7" customFormat="1" ht="15.75" x14ac:dyDescent="0.25">
      <c r="B1" s="6" t="s">
        <v>51</v>
      </c>
    </row>
    <row r="2" spans="1:16" s="7" customFormat="1" x14ac:dyDescent="0.25"/>
    <row r="3" spans="1:16" s="7" customFormat="1" x14ac:dyDescent="0.25">
      <c r="B3" s="8" t="s">
        <v>90</v>
      </c>
      <c r="D3" s="8"/>
      <c r="E3" s="8"/>
      <c r="F3" s="8"/>
      <c r="G3" s="8"/>
      <c r="H3" s="8"/>
      <c r="I3" s="8"/>
      <c r="J3" s="8"/>
    </row>
    <row r="4" spans="1:16" s="7" customFormat="1" x14ac:dyDescent="0.25">
      <c r="B4" s="8" t="s">
        <v>91</v>
      </c>
      <c r="D4" s="8"/>
      <c r="E4" s="8"/>
      <c r="F4" s="8"/>
      <c r="G4" s="8"/>
      <c r="H4" s="8"/>
      <c r="I4" s="8"/>
      <c r="J4" s="8"/>
    </row>
    <row r="5" spans="1:16" s="7" customFormat="1" x14ac:dyDescent="0.25"/>
    <row r="6" spans="1:16" s="7" customFormat="1" x14ac:dyDescent="0.25">
      <c r="B6" s="7" t="s">
        <v>68</v>
      </c>
    </row>
    <row r="7" spans="1:16" s="7" customFormat="1" x14ac:dyDescent="0.25">
      <c r="B7" s="793" t="s">
        <v>62</v>
      </c>
      <c r="C7" s="793"/>
      <c r="D7" s="7" t="s">
        <v>64</v>
      </c>
    </row>
    <row r="8" spans="1:16" s="7" customFormat="1" x14ac:dyDescent="0.25">
      <c r="B8" s="793" t="s">
        <v>56</v>
      </c>
      <c r="C8" s="793"/>
      <c r="D8" s="7" t="s">
        <v>63</v>
      </c>
    </row>
    <row r="9" spans="1:16" s="7" customFormat="1" x14ac:dyDescent="0.25">
      <c r="B9" s="8"/>
      <c r="C9" s="8"/>
      <c r="D9" s="7" t="s">
        <v>59</v>
      </c>
    </row>
    <row r="10" spans="1:16" s="7" customFormat="1" x14ac:dyDescent="0.25">
      <c r="B10" s="793" t="s">
        <v>61</v>
      </c>
      <c r="C10" s="793"/>
      <c r="D10" s="7" t="s">
        <v>65</v>
      </c>
    </row>
    <row r="11" spans="1:16" s="7" customFormat="1" x14ac:dyDescent="0.25">
      <c r="B11" s="793" t="s">
        <v>60</v>
      </c>
      <c r="C11" s="793"/>
      <c r="D11" s="7" t="s">
        <v>66</v>
      </c>
    </row>
    <row r="12" spans="1:16" s="7" customFormat="1" x14ac:dyDescent="0.25">
      <c r="B12" s="365"/>
      <c r="C12" s="365"/>
      <c r="D12" s="7" t="s">
        <v>67</v>
      </c>
    </row>
    <row r="13" spans="1:16" s="7" customFormat="1" ht="15.75" thickBot="1" x14ac:dyDescent="0.3"/>
    <row r="14" spans="1:16" s="7" customFormat="1" ht="14.1" customHeight="1" x14ac:dyDescent="0.25">
      <c r="B14" s="794" t="s">
        <v>52</v>
      </c>
      <c r="C14" s="785" t="s">
        <v>44</v>
      </c>
      <c r="D14" s="786"/>
      <c r="E14" s="787" t="s">
        <v>54</v>
      </c>
      <c r="F14" s="787" t="s">
        <v>60</v>
      </c>
      <c r="G14" s="785" t="s">
        <v>53</v>
      </c>
      <c r="H14" s="786"/>
      <c r="I14" s="787" t="s">
        <v>54</v>
      </c>
      <c r="J14" s="790" t="s">
        <v>57</v>
      </c>
      <c r="K14" s="786"/>
      <c r="L14" s="791" t="s">
        <v>54</v>
      </c>
      <c r="M14" s="785" t="s">
        <v>58</v>
      </c>
      <c r="N14" s="786"/>
      <c r="O14" s="787" t="s">
        <v>54</v>
      </c>
      <c r="P14" s="789" t="s">
        <v>95</v>
      </c>
    </row>
    <row r="15" spans="1:16" s="7" customFormat="1" ht="30" customHeight="1" thickBot="1" x14ac:dyDescent="0.3">
      <c r="B15" s="795"/>
      <c r="C15" s="9" t="s">
        <v>55</v>
      </c>
      <c r="D15" s="9" t="s">
        <v>56</v>
      </c>
      <c r="E15" s="788"/>
      <c r="F15" s="788"/>
      <c r="G15" s="9" t="s">
        <v>55</v>
      </c>
      <c r="H15" s="9" t="s">
        <v>56</v>
      </c>
      <c r="I15" s="788"/>
      <c r="J15" s="10" t="s">
        <v>55</v>
      </c>
      <c r="K15" s="9" t="s">
        <v>56</v>
      </c>
      <c r="L15" s="792"/>
      <c r="M15" s="9" t="s">
        <v>55</v>
      </c>
      <c r="N15" s="9" t="s">
        <v>56</v>
      </c>
      <c r="O15" s="788"/>
      <c r="P15" s="788"/>
    </row>
    <row r="16" spans="1:16" s="11" customFormat="1" ht="20.100000000000001" customHeight="1" x14ac:dyDescent="0.25">
      <c r="A16" s="7"/>
      <c r="B16" s="397"/>
      <c r="C16" s="398" t="s">
        <v>92</v>
      </c>
      <c r="D16" s="399" t="s">
        <v>92</v>
      </c>
      <c r="E16" s="400"/>
      <c r="F16" s="401"/>
      <c r="G16" s="398"/>
      <c r="H16" s="399"/>
      <c r="I16" s="401"/>
      <c r="J16" s="402"/>
      <c r="K16" s="399"/>
      <c r="L16" s="400"/>
      <c r="M16" s="398"/>
      <c r="N16" s="399"/>
      <c r="O16" s="401"/>
      <c r="P16" s="403"/>
    </row>
    <row r="17" spans="1:16" s="11" customFormat="1" ht="20.100000000000001" customHeight="1" x14ac:dyDescent="0.25">
      <c r="A17" s="7"/>
      <c r="B17" s="404"/>
      <c r="C17" s="405"/>
      <c r="D17" s="406"/>
      <c r="E17" s="407"/>
      <c r="F17" s="408"/>
      <c r="G17" s="405"/>
      <c r="H17" s="406"/>
      <c r="I17" s="408"/>
      <c r="J17" s="409"/>
      <c r="K17" s="406"/>
      <c r="L17" s="407"/>
      <c r="M17" s="405"/>
      <c r="N17" s="406"/>
      <c r="O17" s="408"/>
      <c r="P17" s="410"/>
    </row>
    <row r="18" spans="1:16" s="11" customFormat="1" ht="20.100000000000001" customHeight="1" x14ac:dyDescent="0.25">
      <c r="A18" s="7"/>
      <c r="B18" s="404"/>
      <c r="C18" s="405"/>
      <c r="D18" s="406"/>
      <c r="E18" s="407"/>
      <c r="F18" s="408"/>
      <c r="G18" s="405"/>
      <c r="H18" s="406"/>
      <c r="I18" s="408"/>
      <c r="J18" s="409"/>
      <c r="K18" s="406"/>
      <c r="L18" s="407"/>
      <c r="M18" s="405"/>
      <c r="N18" s="406"/>
      <c r="O18" s="408"/>
      <c r="P18" s="410"/>
    </row>
    <row r="19" spans="1:16" s="11" customFormat="1" ht="20.100000000000001" customHeight="1" x14ac:dyDescent="0.25">
      <c r="A19" s="7"/>
      <c r="B19" s="404"/>
      <c r="C19" s="405"/>
      <c r="D19" s="406"/>
      <c r="E19" s="407"/>
      <c r="F19" s="408"/>
      <c r="G19" s="405"/>
      <c r="H19" s="406"/>
      <c r="I19" s="408"/>
      <c r="J19" s="409"/>
      <c r="K19" s="406"/>
      <c r="L19" s="407"/>
      <c r="M19" s="405"/>
      <c r="N19" s="406"/>
      <c r="O19" s="408"/>
      <c r="P19" s="410"/>
    </row>
    <row r="20" spans="1:16" s="11" customFormat="1" ht="20.100000000000001" customHeight="1" x14ac:dyDescent="0.25">
      <c r="A20" s="7"/>
      <c r="B20" s="404"/>
      <c r="C20" s="405"/>
      <c r="D20" s="406"/>
      <c r="E20" s="407"/>
      <c r="F20" s="408"/>
      <c r="G20" s="405"/>
      <c r="H20" s="406"/>
      <c r="I20" s="408"/>
      <c r="J20" s="409"/>
      <c r="K20" s="406"/>
      <c r="L20" s="407"/>
      <c r="M20" s="405"/>
      <c r="N20" s="406"/>
      <c r="O20" s="408"/>
      <c r="P20" s="410"/>
    </row>
    <row r="21" spans="1:16" s="11" customFormat="1" ht="20.100000000000001" customHeight="1" x14ac:dyDescent="0.25">
      <c r="A21" s="7"/>
      <c r="B21" s="404"/>
      <c r="C21" s="405"/>
      <c r="D21" s="406"/>
      <c r="E21" s="407"/>
      <c r="F21" s="408"/>
      <c r="G21" s="405"/>
      <c r="H21" s="406"/>
      <c r="I21" s="408"/>
      <c r="J21" s="409"/>
      <c r="K21" s="406"/>
      <c r="L21" s="407"/>
      <c r="M21" s="405"/>
      <c r="N21" s="406"/>
      <c r="O21" s="408"/>
      <c r="P21" s="410"/>
    </row>
    <row r="22" spans="1:16" s="11" customFormat="1" ht="20.100000000000001" customHeight="1" x14ac:dyDescent="0.25">
      <c r="A22" s="7"/>
      <c r="B22" s="404"/>
      <c r="C22" s="405"/>
      <c r="D22" s="406"/>
      <c r="E22" s="407"/>
      <c r="F22" s="408"/>
      <c r="G22" s="405"/>
      <c r="H22" s="406"/>
      <c r="I22" s="408"/>
      <c r="J22" s="409"/>
      <c r="K22" s="406"/>
      <c r="L22" s="407"/>
      <c r="M22" s="405"/>
      <c r="N22" s="406"/>
      <c r="O22" s="408"/>
      <c r="P22" s="410"/>
    </row>
    <row r="23" spans="1:16" s="11" customFormat="1" ht="20.100000000000001" customHeight="1" x14ac:dyDescent="0.25">
      <c r="A23" s="7"/>
      <c r="B23" s="404"/>
      <c r="C23" s="405"/>
      <c r="D23" s="406"/>
      <c r="E23" s="407"/>
      <c r="F23" s="408"/>
      <c r="G23" s="405"/>
      <c r="H23" s="406"/>
      <c r="I23" s="408"/>
      <c r="J23" s="409"/>
      <c r="K23" s="406"/>
      <c r="L23" s="407"/>
      <c r="M23" s="405"/>
      <c r="N23" s="406"/>
      <c r="O23" s="408"/>
      <c r="P23" s="410"/>
    </row>
    <row r="24" spans="1:16" s="11" customFormat="1" ht="20.100000000000001" customHeight="1" x14ac:dyDescent="0.25">
      <c r="A24" s="7"/>
      <c r="B24" s="404"/>
      <c r="C24" s="405"/>
      <c r="D24" s="406"/>
      <c r="E24" s="407"/>
      <c r="F24" s="408"/>
      <c r="G24" s="405"/>
      <c r="H24" s="406"/>
      <c r="I24" s="408"/>
      <c r="J24" s="409"/>
      <c r="K24" s="406"/>
      <c r="L24" s="407"/>
      <c r="M24" s="405"/>
      <c r="N24" s="406"/>
      <c r="O24" s="408"/>
      <c r="P24" s="410"/>
    </row>
    <row r="25" spans="1:16" s="11" customFormat="1" ht="20.100000000000001" customHeight="1" x14ac:dyDescent="0.25">
      <c r="A25" s="7"/>
      <c r="B25" s="404"/>
      <c r="C25" s="405"/>
      <c r="D25" s="406"/>
      <c r="E25" s="407"/>
      <c r="F25" s="408"/>
      <c r="G25" s="405"/>
      <c r="H25" s="406"/>
      <c r="I25" s="408"/>
      <c r="J25" s="409"/>
      <c r="K25" s="406"/>
      <c r="L25" s="407"/>
      <c r="M25" s="405"/>
      <c r="N25" s="406"/>
      <c r="O25" s="408"/>
      <c r="P25" s="410"/>
    </row>
    <row r="26" spans="1:16" s="11" customFormat="1" ht="20.100000000000001" customHeight="1" x14ac:dyDescent="0.25">
      <c r="A26" s="7"/>
      <c r="B26" s="404"/>
      <c r="C26" s="405"/>
      <c r="D26" s="406"/>
      <c r="E26" s="407"/>
      <c r="F26" s="408"/>
      <c r="G26" s="405"/>
      <c r="H26" s="406"/>
      <c r="I26" s="408"/>
      <c r="J26" s="409"/>
      <c r="K26" s="406"/>
      <c r="L26" s="407"/>
      <c r="M26" s="405"/>
      <c r="N26" s="406"/>
      <c r="O26" s="408"/>
      <c r="P26" s="410"/>
    </row>
    <row r="27" spans="1:16" s="11" customFormat="1" ht="20.100000000000001" customHeight="1" x14ac:dyDescent="0.25">
      <c r="A27" s="7"/>
      <c r="B27" s="404"/>
      <c r="C27" s="405"/>
      <c r="D27" s="406"/>
      <c r="E27" s="407"/>
      <c r="F27" s="408"/>
      <c r="G27" s="405"/>
      <c r="H27" s="406"/>
      <c r="I27" s="408"/>
      <c r="J27" s="409"/>
      <c r="K27" s="406"/>
      <c r="L27" s="407"/>
      <c r="M27" s="405"/>
      <c r="N27" s="406"/>
      <c r="O27" s="408"/>
      <c r="P27" s="410"/>
    </row>
    <row r="28" spans="1:16" s="11" customFormat="1" ht="20.100000000000001" customHeight="1" x14ac:dyDescent="0.25">
      <c r="A28" s="7"/>
      <c r="B28" s="404"/>
      <c r="C28" s="405"/>
      <c r="D28" s="406"/>
      <c r="E28" s="407"/>
      <c r="F28" s="408"/>
      <c r="G28" s="405"/>
      <c r="H28" s="406"/>
      <c r="I28" s="408"/>
      <c r="J28" s="409"/>
      <c r="K28" s="406"/>
      <c r="L28" s="407"/>
      <c r="M28" s="405"/>
      <c r="N28" s="406"/>
      <c r="O28" s="408"/>
      <c r="P28" s="410"/>
    </row>
    <row r="29" spans="1:16" s="11" customFormat="1" ht="20.100000000000001" customHeight="1" x14ac:dyDescent="0.25">
      <c r="A29" s="7"/>
      <c r="B29" s="404"/>
      <c r="C29" s="405"/>
      <c r="D29" s="406"/>
      <c r="E29" s="407"/>
      <c r="F29" s="408"/>
      <c r="G29" s="405"/>
      <c r="H29" s="406"/>
      <c r="I29" s="408"/>
      <c r="J29" s="409"/>
      <c r="K29" s="406"/>
      <c r="L29" s="407"/>
      <c r="M29" s="405"/>
      <c r="N29" s="406"/>
      <c r="O29" s="408"/>
      <c r="P29" s="410"/>
    </row>
    <row r="30" spans="1:16" s="11" customFormat="1" ht="20.100000000000001" customHeight="1" x14ac:dyDescent="0.25">
      <c r="A30" s="7"/>
      <c r="B30" s="404"/>
      <c r="C30" s="405"/>
      <c r="D30" s="406"/>
      <c r="E30" s="407"/>
      <c r="F30" s="408"/>
      <c r="G30" s="405"/>
      <c r="H30" s="406"/>
      <c r="I30" s="408"/>
      <c r="J30" s="409"/>
      <c r="K30" s="406"/>
      <c r="L30" s="407"/>
      <c r="M30" s="405"/>
      <c r="N30" s="406"/>
      <c r="O30" s="408"/>
      <c r="P30" s="410"/>
    </row>
    <row r="31" spans="1:16" s="11" customFormat="1" ht="20.100000000000001" customHeight="1" x14ac:dyDescent="0.25">
      <c r="A31" s="7"/>
      <c r="B31" s="404"/>
      <c r="C31" s="405"/>
      <c r="D31" s="406"/>
      <c r="E31" s="407"/>
      <c r="F31" s="408"/>
      <c r="G31" s="405"/>
      <c r="H31" s="406"/>
      <c r="I31" s="408"/>
      <c r="J31" s="409"/>
      <c r="K31" s="406"/>
      <c r="L31" s="407"/>
      <c r="M31" s="405"/>
      <c r="N31" s="406"/>
      <c r="O31" s="408"/>
      <c r="P31" s="410"/>
    </row>
    <row r="32" spans="1:16" s="11" customFormat="1" x14ac:dyDescent="0.25"/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  <row r="45" s="11" customFormat="1" x14ac:dyDescent="0.25"/>
    <row r="46" s="11" customFormat="1" x14ac:dyDescent="0.25"/>
    <row r="47" s="11" customFormat="1" x14ac:dyDescent="0.25"/>
    <row r="48" s="11" customFormat="1" x14ac:dyDescent="0.25"/>
    <row r="49" s="11" customFormat="1" x14ac:dyDescent="0.25"/>
    <row r="50" s="11" customFormat="1" x14ac:dyDescent="0.25"/>
    <row r="51" s="11" customFormat="1" x14ac:dyDescent="0.25"/>
    <row r="52" s="11" customFormat="1" x14ac:dyDescent="0.25"/>
    <row r="53" s="11" customFormat="1" x14ac:dyDescent="0.25"/>
    <row r="54" s="11" customFormat="1" x14ac:dyDescent="0.25"/>
    <row r="55" s="11" customFormat="1" x14ac:dyDescent="0.25"/>
    <row r="56" s="11" customFormat="1" x14ac:dyDescent="0.25"/>
    <row r="57" s="11" customFormat="1" x14ac:dyDescent="0.25"/>
    <row r="58" s="11" customFormat="1" x14ac:dyDescent="0.25"/>
    <row r="59" s="11" customFormat="1" x14ac:dyDescent="0.25"/>
    <row r="60" s="11" customFormat="1" x14ac:dyDescent="0.25"/>
    <row r="61" s="11" customFormat="1" x14ac:dyDescent="0.25"/>
    <row r="62" s="11" customFormat="1" x14ac:dyDescent="0.25"/>
    <row r="63" s="11" customFormat="1" x14ac:dyDescent="0.25"/>
    <row r="64" s="11" customFormat="1" x14ac:dyDescent="0.25"/>
    <row r="65" s="11" customFormat="1" x14ac:dyDescent="0.25"/>
    <row r="66" s="11" customFormat="1" x14ac:dyDescent="0.25"/>
    <row r="67" s="11" customFormat="1" x14ac:dyDescent="0.25"/>
    <row r="68" s="11" customFormat="1" x14ac:dyDescent="0.25"/>
    <row r="69" s="11" customFormat="1" x14ac:dyDescent="0.25"/>
    <row r="70" s="11" customFormat="1" x14ac:dyDescent="0.25"/>
    <row r="71" s="11" customFormat="1" x14ac:dyDescent="0.25"/>
    <row r="72" s="11" customFormat="1" x14ac:dyDescent="0.25"/>
    <row r="73" s="11" customFormat="1" x14ac:dyDescent="0.25"/>
    <row r="74" s="11" customFormat="1" x14ac:dyDescent="0.25"/>
    <row r="75" s="11" customFormat="1" x14ac:dyDescent="0.25"/>
    <row r="76" s="11" customFormat="1" x14ac:dyDescent="0.25"/>
    <row r="77" s="11" customFormat="1" x14ac:dyDescent="0.25"/>
    <row r="78" s="11" customFormat="1" x14ac:dyDescent="0.25"/>
    <row r="79" s="11" customFormat="1" x14ac:dyDescent="0.25"/>
    <row r="80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</sheetData>
  <sheetProtection algorithmName="SHA-512" hashValue="8YI9Mzv/nXcJ6utBDfauKcSnaP+gB00Su4zPtYnL15hJkcQufKws1B6aSQGULMCYHD3acQaOORWd/E9hutgyPA==" saltValue="eVuMxsGXS2BHkkRGEhEdlw==" spinCount="100000" sheet="1" objects="1" scenarios="1" insertRows="0" selectLockedCells="1"/>
  <mergeCells count="15">
    <mergeCell ref="B7:C7"/>
    <mergeCell ref="B8:C8"/>
    <mergeCell ref="B10:C10"/>
    <mergeCell ref="B11:C11"/>
    <mergeCell ref="B14:B15"/>
    <mergeCell ref="C14:D14"/>
    <mergeCell ref="M14:N14"/>
    <mergeCell ref="O14:O15"/>
    <mergeCell ref="P14:P15"/>
    <mergeCell ref="E14:E15"/>
    <mergeCell ref="F14:F15"/>
    <mergeCell ref="G14:H14"/>
    <mergeCell ref="I14:I15"/>
    <mergeCell ref="J14:K14"/>
    <mergeCell ref="L14:L15"/>
  </mergeCells>
  <printOptions horizontalCentered="1" verticalCentered="1"/>
  <pageMargins left="0" right="0" top="0" bottom="0" header="0.3" footer="0.3"/>
  <pageSetup scale="74" orientation="landscape" horizontalDpi="1200" verticalDpi="1200" r:id="rId1"/>
  <headerFooter alignWithMargins="0">
    <oddFooter>&amp;CASHRAE 62.2 2016 Calculator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Small Homes Ventilation</vt:lpstr>
      <vt:lpstr>Calculations-2016</vt:lpstr>
      <vt:lpstr>Local Exhaust Ventilation</vt:lpstr>
      <vt:lpstr>Multifamily Ventilation</vt:lpstr>
      <vt:lpstr>Predicted-Depressurization</vt:lpstr>
      <vt:lpstr>MF Infiltration Credit Wrks</vt:lpstr>
      <vt:lpstr>Multifamily Calculations</vt:lpstr>
      <vt:lpstr>Fan Cycle Calculator</vt:lpstr>
      <vt:lpstr>Exhaust Ventilation Worksheet</vt:lpstr>
      <vt:lpstr>Small Homes Flow Chart 1</vt:lpstr>
      <vt:lpstr>Small Homes Flow Chart 2</vt:lpstr>
      <vt:lpstr>Multifamily Flow Chart 1</vt:lpstr>
      <vt:lpstr>Multifamily Flow Chart 2</vt:lpstr>
      <vt:lpstr>MF_Stations</vt:lpstr>
      <vt:lpstr>'Exhaust Ventilation Worksheet'!Print_Area</vt:lpstr>
      <vt:lpstr>'Fan Cycle Calculator'!Print_Area</vt:lpstr>
      <vt:lpstr>'Local Exhaust Ventilation'!Print_Area</vt:lpstr>
      <vt:lpstr>'MF Infiltration Credit Wrks'!Print_Area</vt:lpstr>
      <vt:lpstr>'Multifamily Calculations'!Print_Area</vt:lpstr>
      <vt:lpstr>'Multifamily Flow Chart 1'!Print_Area</vt:lpstr>
      <vt:lpstr>'Multifamily Ventilation'!Print_Area</vt:lpstr>
      <vt:lpstr>'Small Homes Flow Chart 1'!Print_Area</vt:lpstr>
      <vt:lpstr>'Small Homes Ventilation'!Print_Area</vt:lpstr>
      <vt:lpstr>WSF_Stations</vt:lpstr>
    </vt:vector>
  </TitlesOfParts>
  <Manager>Andy Stone</Manager>
  <Company>NYSWDA</Company>
  <LinksUpToDate>false</LinksUpToDate>
  <SharedDoc>false</SharedDoc>
  <HyperlinkBase>www.nyswda.org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ASHRAE 62.2 20016 Ventilation Calculator</dc:title>
  <dc:subject>ASHRAE 62.2-2016 Calculator</dc:subject>
  <dc:creator>NYSWDA/AEA with support from NYSHCR;OConnell, Kevin (NYSHCR);Miller, Wayne S (NYSHCR)</dc:creator>
  <cp:keywords>62.2, ventilation, calculator, ASHRAE</cp:keywords>
  <dc:description>Final review/edits 4/26/2018 WM</dc:description>
  <cp:lastModifiedBy>KOConnell</cp:lastModifiedBy>
  <cp:lastPrinted>2018-04-26T17:45:10Z</cp:lastPrinted>
  <dcterms:created xsi:type="dcterms:W3CDTF">2011-04-29T20:57:11Z</dcterms:created>
  <dcterms:modified xsi:type="dcterms:W3CDTF">2018-05-17T19:08:29Z</dcterms:modified>
  <cp:contentStatus>Final</cp:contentStatus>
  <cp:version>9.5.3</cp:version>
</cp:coreProperties>
</file>